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2900" firstSheet="13" activeTab="19"/>
  </bookViews>
  <sheets>
    <sheet name="1998" sheetId="1" r:id="rId1"/>
    <sheet name="1999" sheetId="2" r:id="rId2"/>
    <sheet name="2000" sheetId="3" r:id="rId3"/>
    <sheet name="2001" sheetId="4" r:id="rId4"/>
    <sheet name="2002" sheetId="5" r:id="rId5"/>
    <sheet name="2003" sheetId="6" r:id="rId6"/>
    <sheet name="2004" sheetId="7" r:id="rId7"/>
    <sheet name="2005" sheetId="8" r:id="rId8"/>
    <sheet name="2006" sheetId="9" r:id="rId9"/>
    <sheet name="2007" sheetId="10" r:id="rId10"/>
    <sheet name="2008" sheetId="11" r:id="rId11"/>
    <sheet name="2009" sheetId="12" r:id="rId12"/>
    <sheet name="2010" sheetId="13" r:id="rId13"/>
    <sheet name="2011" sheetId="14" r:id="rId14"/>
    <sheet name="2012" sheetId="15" r:id="rId15"/>
    <sheet name="2013" sheetId="16" r:id="rId16"/>
    <sheet name="2014" sheetId="17" r:id="rId17"/>
    <sheet name="2015" sheetId="18" r:id="rId18"/>
    <sheet name="2016" sheetId="19" r:id="rId19"/>
    <sheet name="2017" sheetId="20" r:id="rId20"/>
  </sheets>
  <definedNames>
    <definedName name="en_1" localSheetId="11">'2009'!$C$1:$C$22</definedName>
    <definedName name="en_1" localSheetId="12">'2010'!$C$1:$C$22</definedName>
    <definedName name="en_1" localSheetId="13">'2011'!$C$1:$C$22</definedName>
    <definedName name="en_1" localSheetId="14">'2012'!$C$1:$C$22</definedName>
    <definedName name="en_1" localSheetId="15">'2013'!$C$1:$C$22</definedName>
    <definedName name="en_1" localSheetId="16">'2014'!$A$1:$A$22</definedName>
    <definedName name="en_1" localSheetId="17">'2015'!#REF!</definedName>
    <definedName name="en_1" localSheetId="18">'2016'!#REF!</definedName>
    <definedName name="en_1" localSheetId="19">'2017'!#REF!</definedName>
    <definedName name="en_1">'1998'!$C$1:$C$16</definedName>
    <definedName name="en_10">'2007'!$C$1:$C$13</definedName>
    <definedName name="en_11">'2008'!$C$1:$C$21</definedName>
    <definedName name="en_2">'1999'!$C$1:$C$16</definedName>
    <definedName name="en_3">'2000'!$C$1:$C$20</definedName>
    <definedName name="en_4">'2001'!$C$1:$C$22</definedName>
    <definedName name="en_5">'2002'!$C$1:$C$14</definedName>
    <definedName name="en_6">#REF!</definedName>
    <definedName name="en_7">'2004'!$C$1:$C$14</definedName>
    <definedName name="en_8">'2005'!$C$1:$C$14</definedName>
    <definedName name="en_9">'2006'!$C$1:$C$13</definedName>
    <definedName name="fr_1" localSheetId="11">'2009'!$A$1:$A$22</definedName>
    <definedName name="fr_1" localSheetId="12">'2010'!$A$1:$A$22</definedName>
    <definedName name="fr_1" localSheetId="13">'2011'!$A$1:$A$22</definedName>
    <definedName name="fr_1" localSheetId="14">'2012'!$A$1:$A$22</definedName>
    <definedName name="fr_1" localSheetId="15">'2013'!$A$1:$A$22</definedName>
    <definedName name="fr_1" localSheetId="16">'2014'!#REF!</definedName>
    <definedName name="fr_1" localSheetId="17">'2015'!$A$1:$A$26</definedName>
    <definedName name="fr_1" localSheetId="18">'2016'!$A$1:$A$27</definedName>
    <definedName name="fr_1" localSheetId="19">'2017'!$A$1:$A$25</definedName>
    <definedName name="fr_1">'1998'!$A$1:$A$16</definedName>
    <definedName name="fr_10">'2007'!$A$1:$A$13</definedName>
    <definedName name="fr_11">'2008'!$A$1:$A$21</definedName>
    <definedName name="fr_2">'1999'!$A$1:$A$16</definedName>
    <definedName name="fr_3">'2000'!$A$1:$A$20</definedName>
    <definedName name="fr_4">'2001'!$A$1:$A$22</definedName>
    <definedName name="fr_5">'2002'!$A$1:$A$14</definedName>
    <definedName name="fr_6">#REF!</definedName>
    <definedName name="fr_7">'2004'!$A$1:$A$14</definedName>
    <definedName name="fr_8">'2005'!$A$1:$A$14</definedName>
    <definedName name="fr_9">'2006'!$A$1:$A$13</definedName>
    <definedName name="nl_1" localSheetId="11">'2009'!$B$1:$B$22</definedName>
    <definedName name="nl_1" localSheetId="12">'2010'!$B$1:$B$22</definedName>
    <definedName name="nl_1" localSheetId="13">'2011'!$B$1:$B$22</definedName>
    <definedName name="nl_1" localSheetId="14">'2012'!$B$1:$B$22</definedName>
    <definedName name="nl_1" localSheetId="15">'2013'!$B$1:$B$22</definedName>
    <definedName name="nl_1" localSheetId="16">'2014'!#REF!</definedName>
    <definedName name="nl_1" localSheetId="17">'2015'!#REF!</definedName>
    <definedName name="nl_1" localSheetId="18">'2016'!#REF!</definedName>
    <definedName name="nl_1" localSheetId="19">'2017'!#REF!</definedName>
    <definedName name="nl_1">'1998'!$B$1:$B$16</definedName>
    <definedName name="nl_10">'2007'!$B$1:$B$13</definedName>
    <definedName name="nl_11">'2008'!$B$1:$B$21</definedName>
    <definedName name="nl_2">'1999'!$B$1:$B$16</definedName>
    <definedName name="nl_3">'2000'!$B$1:$B$20</definedName>
    <definedName name="nl_4">'2001'!$B$1:$B$22</definedName>
    <definedName name="nl_5">'2002'!$B$1:$B$14</definedName>
    <definedName name="nl_6">#REF!</definedName>
    <definedName name="nl_7">'2004'!$B$1:$B$14</definedName>
    <definedName name="nl_8">'2005'!$B$1:$B$14</definedName>
    <definedName name="nl_9">'2006'!$B$1:$B$13</definedName>
    <definedName name="_xlnm.Print_Area" localSheetId="6">'2004'!$A$1:$Q$14</definedName>
    <definedName name="_xlnm.Print_Area" localSheetId="8">'2006'!$A$1:$O$13</definedName>
    <definedName name="_xlnm.Print_Area" localSheetId="11">'2009'!$A$1:$O$22</definedName>
    <definedName name="_xlnm.Print_Area" localSheetId="12">'2010'!$A$1:$O$22</definedName>
    <definedName name="_xlnm.Print_Area" localSheetId="13">'2011'!$A$1:$O$22</definedName>
    <definedName name="_xlnm.Print_Area" localSheetId="14">'2012'!$A$1:$O$22</definedName>
    <definedName name="_xlnm.Print_Area" localSheetId="15">'2013'!$A$1:$M$22</definedName>
    <definedName name="_xlnm.Print_Area" localSheetId="16">'2014'!$A$1:$Q$22</definedName>
    <definedName name="_xlnm.Print_Area" localSheetId="17">'2015'!$A$1:$K$26</definedName>
    <definedName name="_xlnm.Print_Area" localSheetId="18">'2016'!$A$1:$I$27</definedName>
    <definedName name="_xlnm.Print_Area" localSheetId="19">'2017'!$A$1:$E$25</definedName>
    <definedName name="trim_five_a_1" localSheetId="11">'2009'!$M$1:$M$22</definedName>
    <definedName name="trim_five_a_1" localSheetId="12">'2010'!$M$1:$M$22</definedName>
    <definedName name="trim_five_a_1" localSheetId="13">'2011'!$M$1:$M$22</definedName>
    <definedName name="trim_five_a_1" localSheetId="14">'2012'!$M$1:$M$22</definedName>
    <definedName name="trim_five_a_1" localSheetId="15">'2013'!#REF!</definedName>
    <definedName name="trim_five_a_1" localSheetId="16">'2014'!#REF!</definedName>
    <definedName name="trim_five_a_1" localSheetId="17">'2015'!#REF!</definedName>
    <definedName name="trim_five_a_1" localSheetId="18">'2016'!#REF!</definedName>
    <definedName name="trim_five_a_1" localSheetId="19">'2017'!#REF!</definedName>
    <definedName name="trim_five_a_1">'1998'!$O$1:$O$16</definedName>
    <definedName name="trim_five_a_10">'2007'!$M$1:$M$13</definedName>
    <definedName name="trim_five_a_11">'2008'!$M$1:$M$21</definedName>
    <definedName name="trim_five_a_2">'1999'!$O$1:$O$16</definedName>
    <definedName name="trim_five_a_3">'2000'!$O$1:$O$20</definedName>
    <definedName name="trim_five_a_4">'2001'!$O$1:$O$22</definedName>
    <definedName name="trim_five_a_5">'2002'!$O$1:$O$14</definedName>
    <definedName name="trim_five_a_6">#REF!</definedName>
    <definedName name="trim_five_a_7">'2004'!$O$1:$O$14</definedName>
    <definedName name="trim_five_a_8">'2005'!$O$1:$O$14</definedName>
    <definedName name="trim_five_a_9">'2006'!$M$1:$M$13</definedName>
    <definedName name="trim_five_b_1" localSheetId="11">'2009'!$L$1:$L$22</definedName>
    <definedName name="trim_five_b_1" localSheetId="12">'2010'!$L$1:$L$22</definedName>
    <definedName name="trim_five_b_1" localSheetId="13">'2011'!$L$1:$L$22</definedName>
    <definedName name="trim_five_b_1" localSheetId="14">'2012'!$L$1:$L$22</definedName>
    <definedName name="trim_five_b_1" localSheetId="15">'2013'!#REF!</definedName>
    <definedName name="trim_five_b_1" localSheetId="16">'2014'!#REF!</definedName>
    <definedName name="trim_five_b_1" localSheetId="17">'2015'!#REF!</definedName>
    <definedName name="trim_five_b_1" localSheetId="18">'2016'!#REF!</definedName>
    <definedName name="trim_five_b_1" localSheetId="19">'2017'!#REF!</definedName>
    <definedName name="trim_five_b_1">'1998'!$N$1:$N$16</definedName>
    <definedName name="trim_five_b_10">'2007'!$L$1:$L$13</definedName>
    <definedName name="trim_five_b_11">'2008'!$L$1:$L$21</definedName>
    <definedName name="trim_five_b_2">'1999'!$N$1:$N$16</definedName>
    <definedName name="trim_five_b_3">'2000'!$N$1:$N$20</definedName>
    <definedName name="trim_five_b_4">'2001'!$N$1:$N$22</definedName>
    <definedName name="trim_five_b_5">'2002'!$N$1:$N$14</definedName>
    <definedName name="trim_five_b_6">#REF!</definedName>
    <definedName name="trim_five_b_7">'2004'!$N$1:$N$14</definedName>
    <definedName name="trim_five_b_8">'2005'!$N$1:$N$14</definedName>
    <definedName name="trim_five_b_9">'2006'!$L$1:$L$13</definedName>
    <definedName name="trim_four_a_1" localSheetId="11">'2009'!$K$1:$K$22</definedName>
    <definedName name="trim_four_a_1" localSheetId="12">'2010'!$K$1:$K$22</definedName>
    <definedName name="trim_four_a_1" localSheetId="13">'2011'!$K$1:$K$22</definedName>
    <definedName name="trim_four_a_1" localSheetId="14">'2012'!$K$1:$K$22</definedName>
    <definedName name="trim_four_a_1" localSheetId="15">'2013'!$K$1:$K$22</definedName>
    <definedName name="trim_four_a_1" localSheetId="16">'2014'!$O$1:$O$22</definedName>
    <definedName name="trim_four_a_1" localSheetId="17">'2015'!$K$1:$K$26</definedName>
    <definedName name="trim_four_a_1" localSheetId="18">'2016'!#REF!</definedName>
    <definedName name="trim_four_a_1" localSheetId="19">'2017'!#REF!</definedName>
    <definedName name="trim_four_a_1">'1998'!$K$1:$K$16</definedName>
    <definedName name="trim_four_a_10">'2007'!$K$1:$K$13</definedName>
    <definedName name="trim_four_a_11">'2008'!$K$1:$K$21</definedName>
    <definedName name="trim_four_a_2">'1999'!$K$1:$K$16</definedName>
    <definedName name="trim_four_a_3">'2000'!$K$1:$K$20</definedName>
    <definedName name="trim_four_a_4">'2001'!$K$1:$K$22</definedName>
    <definedName name="trim_four_a_5">'2002'!$K$1:$K$14</definedName>
    <definedName name="trim_four_a_6">#REF!</definedName>
    <definedName name="trim_four_a_7">'2004'!$K$1:$K$14</definedName>
    <definedName name="trim_four_a_8">'2005'!$K$1:$K$14</definedName>
    <definedName name="trim_four_a_9">'2006'!$K$1:$K$13</definedName>
    <definedName name="trim_four_b_1" localSheetId="11">'2009'!$J$1:$J$22</definedName>
    <definedName name="trim_four_b_1" localSheetId="12">'2010'!$J$1:$J$22</definedName>
    <definedName name="trim_four_b_1" localSheetId="13">'2011'!$J$1:$J$22</definedName>
    <definedName name="trim_four_b_1" localSheetId="14">'2012'!$J$1:$J$22</definedName>
    <definedName name="trim_four_b_1" localSheetId="15">'2013'!$J$1:$J$22</definedName>
    <definedName name="trim_four_b_1" localSheetId="16">'2014'!$N$1:$N$22</definedName>
    <definedName name="trim_four_b_1" localSheetId="17">'2015'!$J$1:$J$26</definedName>
    <definedName name="trim_four_b_1" localSheetId="18">'2016'!#REF!</definedName>
    <definedName name="trim_four_b_1" localSheetId="19">'2017'!#REF!</definedName>
    <definedName name="trim_four_b_1">'1998'!$J$1:$J$16</definedName>
    <definedName name="trim_four_b_10">'2007'!$J$1:$J$13</definedName>
    <definedName name="trim_four_b_11">'2008'!$J$1:$J$21</definedName>
    <definedName name="trim_four_b_2">'1999'!$J$1:$J$16</definedName>
    <definedName name="trim_four_b_3">'2000'!$J$1:$J$20</definedName>
    <definedName name="trim_four_b_4">'2001'!$J$1:$J$22</definedName>
    <definedName name="trim_four_b_5">'2002'!$J$1:$J$14</definedName>
    <definedName name="trim_four_b_6">#REF!</definedName>
    <definedName name="trim_four_b_7">'2004'!$J$1:$J$14</definedName>
    <definedName name="trim_four_b_8">'2005'!$J$1:$J$14</definedName>
    <definedName name="trim_four_b_9">'2006'!$J$1:$J$13</definedName>
    <definedName name="trim_one_a_1" localSheetId="11">'2009'!$E$1:$E$22</definedName>
    <definedName name="trim_one_a_1" localSheetId="12">'2010'!$E$1:$E$22</definedName>
    <definedName name="trim_one_a_1" localSheetId="13">'2011'!$E$1:$E$22</definedName>
    <definedName name="trim_one_a_1" localSheetId="14">'2012'!$E$1:$E$22</definedName>
    <definedName name="trim_one_a_1" localSheetId="15">'2013'!$E$1:$E$22</definedName>
    <definedName name="trim_one_a_1" localSheetId="16">'2014'!$I$1:$I$22</definedName>
    <definedName name="trim_one_a_1" localSheetId="17">'2015'!$E$1:$E$26</definedName>
    <definedName name="trim_one_a_1" localSheetId="18">'2016'!#REF!</definedName>
    <definedName name="trim_one_a_1" localSheetId="19">'2017'!#REF!</definedName>
    <definedName name="trim_one_a_1">'1998'!$E$1:$E$16</definedName>
    <definedName name="trim_one_a_10">'2007'!$E$1:$E$13</definedName>
    <definedName name="trim_one_a_11">'2008'!$E$1:$E$21</definedName>
    <definedName name="trim_one_a_2">'1999'!$E$1:$E$16</definedName>
    <definedName name="trim_one_a_3">'2000'!$E$1:$E$20</definedName>
    <definedName name="trim_one_a_4">'2001'!$E$1:$E$22</definedName>
    <definedName name="trim_one_a_5">'2002'!$E$1:$E$14</definedName>
    <definedName name="trim_one_a_6">#REF!</definedName>
    <definedName name="trim_one_a_7">'2004'!$E$1:$E$14</definedName>
    <definedName name="trim_one_a_8">'2005'!$E$1:$E$14</definedName>
    <definedName name="trim_one_a_9">'2006'!$E$1:$E$13</definedName>
    <definedName name="trim_one_b_1" localSheetId="11">'2009'!$D$1:$D$22</definedName>
    <definedName name="trim_one_b_1" localSheetId="12">'2010'!$D$1:$D$22</definedName>
    <definedName name="trim_one_b_1" localSheetId="13">'2011'!$D$1:$D$22</definedName>
    <definedName name="trim_one_b_1" localSheetId="14">'2012'!$D$1:$D$22</definedName>
    <definedName name="trim_one_b_1" localSheetId="15">'2013'!$D$1:$D$22</definedName>
    <definedName name="trim_one_b_1" localSheetId="16">'2014'!$H$1:$H$22</definedName>
    <definedName name="trim_one_b_1" localSheetId="17">'2015'!$D$1:$D$26</definedName>
    <definedName name="trim_one_b_1" localSheetId="18">'2016'!#REF!</definedName>
    <definedName name="trim_one_b_1" localSheetId="19">'2017'!#REF!</definedName>
    <definedName name="trim_one_b_1">'1998'!$D$1:$D$16</definedName>
    <definedName name="trim_one_b_10">'2007'!$D$1:$D$13</definedName>
    <definedName name="trim_one_b_11">'2008'!$D$1:$D$21</definedName>
    <definedName name="trim_one_b_2">'1999'!$D$1:$D$16</definedName>
    <definedName name="trim_one_b_3">'2000'!$D$1:$D$20</definedName>
    <definedName name="trim_one_b_4">'2001'!$D$1:$D$22</definedName>
    <definedName name="trim_one_b_5">'2002'!$D$1:$D$14</definedName>
    <definedName name="trim_one_b_6">#REF!</definedName>
    <definedName name="trim_one_b_7">'2004'!$D$1:$D$14</definedName>
    <definedName name="trim_one_b_8">'2005'!$D$1:$D$14</definedName>
    <definedName name="trim_one_b_9">'2006'!$D$1:$D$13</definedName>
    <definedName name="trim_six_a_1" localSheetId="11">'2009'!$O$1:$O$22</definedName>
    <definedName name="trim_six_a_1" localSheetId="12">'2010'!$O$1:$O$22</definedName>
    <definedName name="trim_six_a_1" localSheetId="13">'2011'!$O$1:$O$22</definedName>
    <definedName name="trim_six_a_1" localSheetId="14">'2012'!$O$1:$O$22</definedName>
    <definedName name="trim_six_a_1" localSheetId="15">'2013'!$M$1:$M$22</definedName>
    <definedName name="trim_six_a_1" localSheetId="16">'2014'!$Q$1:$Q$22</definedName>
    <definedName name="trim_six_a_1" localSheetId="17">'2015'!#REF!</definedName>
    <definedName name="trim_six_a_1" localSheetId="18">'2016'!#REF!</definedName>
    <definedName name="trim_six_a_1" localSheetId="19">'2017'!#REF!</definedName>
    <definedName name="trim_six_a_1">'1998'!$Q$1:$Q$16</definedName>
    <definedName name="trim_six_a_10">'2007'!$O$1:$O$13</definedName>
    <definedName name="trim_six_a_11">'2008'!$O$1:$O$21</definedName>
    <definedName name="trim_six_a_2">'1999'!$Q$1:$Q$16</definedName>
    <definedName name="trim_six_a_3">'2000'!$Q$1:$Q$20</definedName>
    <definedName name="trim_six_a_4">'2001'!$Q$1:$Q$22</definedName>
    <definedName name="trim_six_a_5">'2002'!$Q$1:$Q$14</definedName>
    <definedName name="trim_six_a_6">#REF!</definedName>
    <definedName name="trim_six_a_7">'2004'!$Q$1:$Q$14</definedName>
    <definedName name="trim_six_a_8">'2005'!$Q$1:$Q$14</definedName>
    <definedName name="trim_six_a_9">'2006'!$O$1:$O$13</definedName>
    <definedName name="trim_six_b_1" localSheetId="11">'2009'!$N$1:$N$22</definedName>
    <definedName name="trim_six_b_1" localSheetId="12">'2010'!$N$1:$N$22</definedName>
    <definedName name="trim_six_b_1" localSheetId="13">'2011'!$N$1:$N$22</definedName>
    <definedName name="trim_six_b_1" localSheetId="14">'2012'!$N$1:$N$22</definedName>
    <definedName name="trim_six_b_1" localSheetId="15">'2013'!$L$1:$L$22</definedName>
    <definedName name="trim_six_b_1" localSheetId="16">'2014'!$P$1:$P$22</definedName>
    <definedName name="trim_six_b_1" localSheetId="17">'2015'!#REF!</definedName>
    <definedName name="trim_six_b_1" localSheetId="18">'2016'!#REF!</definedName>
    <definedName name="trim_six_b_1" localSheetId="19">'2017'!#REF!</definedName>
    <definedName name="trim_six_b_1">'1998'!$P$1:$P$16</definedName>
    <definedName name="trim_six_b_10">'2007'!$N$1:$N$13</definedName>
    <definedName name="trim_six_b_11">'2008'!$N$1:$N$21</definedName>
    <definedName name="trim_six_b_2">'1999'!$P$1:$P$16</definedName>
    <definedName name="trim_six_b_3">'2000'!$P$1:$P$20</definedName>
    <definedName name="trim_six_b_4">'2001'!$P$1:$P$22</definedName>
    <definedName name="trim_six_b_5">'2002'!$P$1:$P$14</definedName>
    <definedName name="trim_six_b_6">#REF!</definedName>
    <definedName name="trim_six_b_7">'2004'!$P$1:$P$14</definedName>
    <definedName name="trim_six_b_8">'2005'!$P$1:$P$14</definedName>
    <definedName name="trim_six_b_9">'2006'!$N$1:$N$13</definedName>
    <definedName name="trim_three_a_1" localSheetId="11">'2009'!$I$1:$I$22</definedName>
    <definedName name="trim_three_a_1" localSheetId="12">'2010'!$I$1:$I$22</definedName>
    <definedName name="trim_three_a_1" localSheetId="13">'2011'!$I$1:$I$22</definedName>
    <definedName name="trim_three_a_1" localSheetId="14">'2012'!$I$1:$I$22</definedName>
    <definedName name="trim_three_a_1" localSheetId="15">'2013'!$I$1:$I$22</definedName>
    <definedName name="trim_three_a_1" localSheetId="16">'2014'!$M$1:$M$22</definedName>
    <definedName name="trim_three_a_1" localSheetId="17">'2015'!$I$1:$I$26</definedName>
    <definedName name="trim_three_a_1" localSheetId="18">'2016'!$I$1:$I$27</definedName>
    <definedName name="trim_three_a_1" localSheetId="19">'2017'!#REF!</definedName>
    <definedName name="trim_three_a_1">'1998'!$I$1:$I$16</definedName>
    <definedName name="trim_three_a_10">'2007'!$I$1:$I$13</definedName>
    <definedName name="trim_three_a_11">'2008'!$I$1:$I$21</definedName>
    <definedName name="trim_three_a_2">'1999'!$I$1:$I$16</definedName>
    <definedName name="trim_three_a_3">'2000'!$I$1:$I$20</definedName>
    <definedName name="trim_three_a_4">'2001'!$I$1:$I$22</definedName>
    <definedName name="trim_three_a_5">'2002'!$I$1:$I$14</definedName>
    <definedName name="trim_three_a_6">#REF!</definedName>
    <definedName name="trim_three_a_7">'2004'!$I$1:$I$14</definedName>
    <definedName name="trim_three_a_8">'2005'!$I$1:$I$14</definedName>
    <definedName name="trim_three_a_9">'2006'!$I$1:$I$13</definedName>
    <definedName name="trim_three_b_1" localSheetId="11">'2009'!$H$1:$H$22</definedName>
    <definedName name="trim_three_b_1" localSheetId="12">'2010'!$H$1:$H$22</definedName>
    <definedName name="trim_three_b_1" localSheetId="13">'2011'!$H$1:$H$22</definedName>
    <definedName name="trim_three_b_1" localSheetId="14">'2012'!$H$1:$H$22</definedName>
    <definedName name="trim_three_b_1" localSheetId="15">'2013'!$H$1:$H$22</definedName>
    <definedName name="trim_three_b_1" localSheetId="16">'2014'!$L$1:$L$22</definedName>
    <definedName name="trim_three_b_1" localSheetId="17">'2015'!$H$1:$H$26</definedName>
    <definedName name="trim_three_b_1" localSheetId="18">'2016'!$H$1:$H$27</definedName>
    <definedName name="trim_three_b_1" localSheetId="19">'2017'!#REF!</definedName>
    <definedName name="trim_three_b_1">'1998'!$H$1:$H$16</definedName>
    <definedName name="trim_three_b_10">'2007'!$H$1:$H$13</definedName>
    <definedName name="trim_three_b_11">'2008'!$H$1:$H$21</definedName>
    <definedName name="trim_three_b_2">'1999'!$H$1:$H$16</definedName>
    <definedName name="trim_three_b_3">'2000'!$H$1:$H$20</definedName>
    <definedName name="trim_three_b_4">'2001'!$H$1:$H$22</definedName>
    <definedName name="trim_three_b_5">'2002'!$H$1:$H$14</definedName>
    <definedName name="trim_three_b_6">#REF!</definedName>
    <definedName name="trim_three_b_7">'2004'!$H$1:$H$14</definedName>
    <definedName name="trim_three_b_8">'2005'!$H$1:$H$14</definedName>
    <definedName name="trim_three_b_9">'2006'!$H$1:$H$13</definedName>
    <definedName name="trim_two_a_1" localSheetId="11">'2009'!$G$1:$G$22</definedName>
    <definedName name="trim_two_a_1" localSheetId="12">'2010'!$G$1:$G$22</definedName>
    <definedName name="trim_two_a_1" localSheetId="13">'2011'!$G$1:$G$22</definedName>
    <definedName name="trim_two_a_1" localSheetId="14">'2012'!$G$1:$G$22</definedName>
    <definedName name="trim_two_a_1" localSheetId="15">'2013'!$G$1:$G$22</definedName>
    <definedName name="trim_two_a_1" localSheetId="16">'2014'!$K$1:$K$22</definedName>
    <definedName name="trim_two_a_1" localSheetId="17">'2015'!$G$1:$G$26</definedName>
    <definedName name="trim_two_a_1" localSheetId="18">'2016'!$G$1:$G$27</definedName>
    <definedName name="trim_two_a_1" localSheetId="19">'2017'!#REF!</definedName>
    <definedName name="trim_two_a_1">'1998'!$G$1:$G$16</definedName>
    <definedName name="trim_two_a_10">'2007'!$G$1:$G$13</definedName>
    <definedName name="trim_two_a_11">'2008'!$G$1:$G$21</definedName>
    <definedName name="trim_two_a_2">'1999'!$G$1:$G$16</definedName>
    <definedName name="trim_two_a_3">'2000'!$G$1:$G$20</definedName>
    <definedName name="trim_two_a_4">'2001'!$G$1:$G$22</definedName>
    <definedName name="trim_two_a_5">'2002'!$G$1:$G$14</definedName>
    <definedName name="trim_two_a_6">#REF!</definedName>
    <definedName name="trim_two_a_7">'2004'!$G$1:$G$14</definedName>
    <definedName name="trim_two_a_8">'2005'!$G$1:$G$14</definedName>
    <definedName name="trim_two_a_9">'2006'!$G$1:$G$13</definedName>
    <definedName name="trim_two_b_1" localSheetId="11">'2009'!$F$1:$F$22</definedName>
    <definedName name="trim_two_b_1" localSheetId="12">'2010'!$F$1:$F$22</definedName>
    <definedName name="trim_two_b_1" localSheetId="13">'2011'!$F$1:$F$22</definedName>
    <definedName name="trim_two_b_1" localSheetId="14">'2012'!$F$1:$F$22</definedName>
    <definedName name="trim_two_b_1" localSheetId="15">'2013'!$F$1:$F$22</definedName>
    <definedName name="trim_two_b_1" localSheetId="16">'2014'!$J$1:$J$22</definedName>
    <definedName name="trim_two_b_1" localSheetId="17">'2015'!$F$1:$F$26</definedName>
    <definedName name="trim_two_b_1" localSheetId="18">'2016'!$F$1:$F$27</definedName>
    <definedName name="trim_two_b_1" localSheetId="19">'2017'!#REF!</definedName>
    <definedName name="trim_two_b_1">'1998'!$F$1:$F$16</definedName>
    <definedName name="trim_two_b_10">'2007'!$F$1:$F$13</definedName>
    <definedName name="trim_two_b_11">'2008'!$F$1:$F$21</definedName>
    <definedName name="trim_two_b_2">'1999'!$F$1:$F$16</definedName>
    <definedName name="trim_two_b_3">'2000'!$F$1:$F$20</definedName>
    <definedName name="trim_two_b_4">'2001'!$F$1:$F$22</definedName>
    <definedName name="trim_two_b_5">'2002'!$F$1:$F$14</definedName>
    <definedName name="trim_two_b_6">#REF!</definedName>
    <definedName name="trim_two_b_7">'2004'!$F$1:$F$14</definedName>
    <definedName name="trim_two_b_8">'2005'!$F$1:$F$14</definedName>
    <definedName name="trim_two_b_9">'2006'!$F$1:$F$13</definedName>
  </definedNames>
  <calcPr calcMode="manual" fullCalcOnLoad="1"/>
</workbook>
</file>

<file path=xl/sharedStrings.xml><?xml version="1.0" encoding="utf-8"?>
<sst xmlns="http://schemas.openxmlformats.org/spreadsheetml/2006/main" count="1390" uniqueCount="135">
  <si>
    <t>EUR millions</t>
  </si>
  <si>
    <t>EUR miljoenen</t>
  </si>
  <si>
    <t>EUR million</t>
  </si>
  <si>
    <t>    </t>
  </si>
  <si>
    <t>-</t>
  </si>
  <si>
    <t>RTL Group</t>
  </si>
  <si>
    <t> </t>
  </si>
  <si>
    <t>dont options d'achat</t>
  </si>
  <si>
    <t>waarvan aankoopopties</t>
  </si>
  <si>
    <t>of which call options on</t>
  </si>
  <si>
    <t>sur titres RTL Group</t>
  </si>
  <si>
    <t>op effecten RTL Group</t>
  </si>
  <si>
    <t>RTL Group shares comprise</t>
  </si>
  <si>
    <t>TotalFinaElf</t>
  </si>
  <si>
    <t>Imerys</t>
  </si>
  <si>
    <t>Rhodia</t>
  </si>
  <si>
    <t xml:space="preserve"> /</t>
  </si>
  <si>
    <t>Autres participations</t>
  </si>
  <si>
    <t>Andere deelnemingen</t>
  </si>
  <si>
    <t>Other investments</t>
  </si>
  <si>
    <t>Cash net</t>
  </si>
  <si>
    <t>Liquide middelen (netto)</t>
  </si>
  <si>
    <t>Net cash</t>
  </si>
  <si>
    <t>of which call options</t>
  </si>
  <si>
    <t>on RTL Group shares comprise</t>
  </si>
  <si>
    <t>Actif net ajusté</t>
  </si>
  <si>
    <t>Aangepast netto-actief</t>
  </si>
  <si>
    <t xml:space="preserve">Adjusted net assets </t>
  </si>
  <si>
    <t>Actif net ajusté par action (EUR)</t>
  </si>
  <si>
    <t>Aangepast netto-actief per aandeel (EUR)</t>
  </si>
  <si>
    <t>Adjusted net assets per share (EUR)</t>
  </si>
  <si>
    <t>Cours de bourse (EUR)</t>
  </si>
  <si>
    <t>Beurkoers (EUR)</t>
  </si>
  <si>
    <t>Share price (EUR)</t>
  </si>
  <si>
    <t>Décote</t>
  </si>
  <si>
    <t>Disagio</t>
  </si>
  <si>
    <t>Discount</t>
  </si>
  <si>
    <t>(2) Après division du titre Suez par cinq intervenue le 15 mai 2001</t>
  </si>
  <si>
    <t>(2) Rekening houdend met de deling door 5 van de aandeel Suez op 15 mei 2001</t>
  </si>
  <si>
    <t>Eur millions</t>
  </si>
  <si>
    <t>Eur miljoenen</t>
  </si>
  <si>
    <t>Eur million</t>
  </si>
  <si>
    <t>Suez Lyonnaise des Eaux</t>
  </si>
  <si>
    <t>PetroFina</t>
  </si>
  <si>
    <t>Audiofina</t>
  </si>
  <si>
    <t>Imétal</t>
  </si>
  <si>
    <t>Royale Belge</t>
  </si>
  <si>
    <t>Cash et quasi-cash</t>
  </si>
  <si>
    <t>Cash en quasi-cash</t>
  </si>
  <si>
    <t>Cash en cash equivalents</t>
  </si>
  <si>
    <t xml:space="preserve">Actif net ajusté </t>
  </si>
  <si>
    <t xml:space="preserve">Aangepast netto-actief </t>
  </si>
  <si>
    <t>Actif net ajusté par titre (Eur)</t>
  </si>
  <si>
    <t>Aangepast netto-actief per titel (Eur)</t>
  </si>
  <si>
    <t>Adjusted net assets per security (Eur)</t>
  </si>
  <si>
    <t>Cours de bourse (Eur)</t>
  </si>
  <si>
    <t>Beurkoers (Eur)</t>
  </si>
  <si>
    <t>Share price (Eur)</t>
  </si>
  <si>
    <t>Nombre de titres GBL (1)</t>
  </si>
  <si>
    <t>Aantal titels GBL (1)</t>
  </si>
  <si>
    <t>Number of GBL securities (1)</t>
  </si>
  <si>
    <t>(1)  Nombre de titres GBL ajusté après la fusion intervenue le 26 avril 2001 : nombre multiplié par 5</t>
  </si>
  <si>
    <t xml:space="preserve">(1) Adjusted number of GBL securities after the merger on 26 April 2001: number multiplied by 5 </t>
  </si>
  <si>
    <t>Andere deelemingen</t>
  </si>
  <si>
    <t>TotalFina</t>
  </si>
  <si>
    <t>Bertelsmann (1)</t>
  </si>
  <si>
    <t>Suez  (2)</t>
  </si>
  <si>
    <t>Nombre de titres GBL (3)</t>
  </si>
  <si>
    <t>(3)  Nombre de titres GBL ajusté après la fusion intervenue le 26 avril 2001 : nombre multiplié par 5</t>
  </si>
  <si>
    <t>Aantal titels GBL (3)</t>
  </si>
  <si>
    <t>Number of GBL securities (3)</t>
  </si>
  <si>
    <t xml:space="preserve">(3) Adjusted number of GBL securities after the merger on 26 April 2001: number multiplied by 5 </t>
  </si>
  <si>
    <t>(1) Adjusted number of GBL securities after the merger on 26 April 2001: number multiplied by 5</t>
  </si>
  <si>
    <t>(1) Aantal aangepaste GBL titels na de fusie op 26 april 2001: aantal vermenigvuldigd met 5</t>
  </si>
  <si>
    <t xml:space="preserve">(1) Aantal aangepaste GBL titels na de fusie op 26 april 2001: aantal vermenigvuldigd met 5 </t>
  </si>
  <si>
    <t>(2) Taking into account the division by 5 of the Suez share on 15 May 2001</t>
  </si>
  <si>
    <t xml:space="preserve">(3) Aantal aangepaste GBL titels na de fusie op 26 april 2001: aantal vermenigvuldigd met 5 </t>
  </si>
  <si>
    <t xml:space="preserve">Suez </t>
  </si>
  <si>
    <t xml:space="preserve">Nombre d'actions GBL </t>
  </si>
  <si>
    <t>Aantal aandelen GBL</t>
  </si>
  <si>
    <t>Number of GBL shares</t>
  </si>
  <si>
    <t xml:space="preserve">Number of GBL shares </t>
  </si>
  <si>
    <t xml:space="preserve">Aantal aandelen GBL </t>
  </si>
  <si>
    <t>Total</t>
  </si>
  <si>
    <t>Imerys (2)</t>
  </si>
  <si>
    <t>Lafarge</t>
  </si>
  <si>
    <t>Pernod Ricard</t>
  </si>
  <si>
    <t>Suez</t>
  </si>
  <si>
    <t xml:space="preserve">Imerys </t>
  </si>
  <si>
    <t>Cash net, trading et actions propres</t>
  </si>
  <si>
    <t>Liquide middelen (netto), trading en eigen aandelen</t>
  </si>
  <si>
    <t>Net cash, trading and own shares</t>
  </si>
  <si>
    <t>Iberdrola</t>
  </si>
  <si>
    <t>GDF SUEZ</t>
  </si>
  <si>
    <t>Suez Environnement</t>
  </si>
  <si>
    <t>Cash net, trading et actions popres</t>
  </si>
  <si>
    <t>Arkema</t>
  </si>
  <si>
    <t>SGS</t>
  </si>
  <si>
    <t>Incubator type investments</t>
  </si>
  <si>
    <t>Financial Pillar</t>
  </si>
  <si>
    <t>13,03 (11,45)</t>
  </si>
  <si>
    <t>Pilier Financier</t>
  </si>
  <si>
    <t>Investissements Pépinière</t>
  </si>
  <si>
    <t>Financiële Pijler</t>
  </si>
  <si>
    <t>Investeringen van het Incubatortype</t>
  </si>
  <si>
    <t>18,57 (18,32)</t>
  </si>
  <si>
    <t>11,99 (11,45)</t>
  </si>
  <si>
    <t>CHF 2052</t>
  </si>
  <si>
    <t>CHF 2159</t>
  </si>
  <si>
    <t>CHF 2029</t>
  </si>
  <si>
    <t>CHF 2179</t>
  </si>
  <si>
    <t>19,86 (18,32)</t>
  </si>
  <si>
    <t>14,75 (11,45)</t>
  </si>
  <si>
    <t>CHF 2125</t>
  </si>
  <si>
    <t>20,11 (18,32)</t>
  </si>
  <si>
    <t>13,98 (11,45)</t>
  </si>
  <si>
    <t>CHF 1981</t>
  </si>
  <si>
    <t>13,40 (11,45)</t>
  </si>
  <si>
    <t>CHF 2045</t>
  </si>
  <si>
    <t>19,43 (18,32)</t>
  </si>
  <si>
    <t>14,44 (11,45)</t>
  </si>
  <si>
    <t>18,41 (18,32)</t>
  </si>
  <si>
    <t>16,03 (11,45)</t>
  </si>
  <si>
    <t xml:space="preserve">  Umicore</t>
  </si>
  <si>
    <t xml:space="preserve">  Ontex</t>
  </si>
  <si>
    <t>ENGIE</t>
  </si>
  <si>
    <t xml:space="preserve">  Others</t>
  </si>
  <si>
    <t xml:space="preserve">  adidas</t>
  </si>
  <si>
    <t>16,69 (11,45)</t>
  </si>
  <si>
    <t>Sienna Capital</t>
  </si>
  <si>
    <t>LafargeHolcim</t>
  </si>
  <si>
    <t xml:space="preserve">  Autres</t>
  </si>
  <si>
    <t>adidas</t>
  </si>
  <si>
    <t>Umicore</t>
  </si>
  <si>
    <t xml:space="preserve">  Burberry</t>
  </si>
</sst>
</file>

<file path=xl/styles.xml><?xml version="1.0" encoding="utf-8"?>
<styleSheet xmlns="http://schemas.openxmlformats.org/spreadsheetml/2006/main">
  <numFmts count="4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BF&quot;;\-#,##0\ &quot;BF&quot;"/>
    <numFmt numFmtId="181" formatCode="#,##0\ &quot;BF&quot;;[Red]\-#,##0\ &quot;BF&quot;"/>
    <numFmt numFmtId="182" formatCode="#,##0.00\ &quot;BF&quot;;\-#,##0.00\ &quot;BF&quot;"/>
    <numFmt numFmtId="183" formatCode="#,##0.00\ &quot;BF&quot;;[Red]\-#,##0.00\ &quot;BF&quot;"/>
    <numFmt numFmtId="184" formatCode="_-* #,##0\ &quot;BF&quot;_-;\-* #,##0\ &quot;BF&quot;_-;_-* &quot;-&quot;\ &quot;BF&quot;_-;_-@_-"/>
    <numFmt numFmtId="185" formatCode="_-* #,##0\ _B_F_-;\-* #,##0\ _B_F_-;_-* &quot;-&quot;\ _B_F_-;_-@_-"/>
    <numFmt numFmtId="186" formatCode="_-* #,##0.00\ &quot;BF&quot;_-;\-* #,##0.00\ &quot;BF&quot;_-;_-* &quot;-&quot;??\ &quot;BF&quot;_-;_-@_-"/>
    <numFmt numFmtId="187" formatCode="_-* #,##0.00\ _B_F_-;\-* #,##0.00\ _B_F_-;_-* &quot;-&quot;??\ _B_F_-;_-@_-"/>
    <numFmt numFmtId="188" formatCode="d/mm/yy;@"/>
    <numFmt numFmtId="189" formatCode="d/m/yy"/>
    <numFmt numFmtId="190" formatCode="#,##0;\(#,##0\)"/>
    <numFmt numFmtId="191" formatCode="0.0%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80C]dddd\ d\ mmmm\ yyyy"/>
    <numFmt numFmtId="197" formatCode="dd\-mm\-yy;@"/>
    <numFmt numFmtId="198" formatCode="#,##0.000"/>
    <numFmt numFmtId="199" formatCode="#,##0.0"/>
    <numFmt numFmtId="200" formatCode="&quot;CHF&quot;\ #,##0"/>
    <numFmt numFmtId="201" formatCode="&quot;GBP&quot;\ #,##0.00"/>
  </numFmts>
  <fonts count="66">
    <font>
      <sz val="10"/>
      <name val="Arial"/>
      <family val="0"/>
    </font>
    <font>
      <b/>
      <sz val="8"/>
      <name val="Arial"/>
      <family val="2"/>
    </font>
    <font>
      <i/>
      <sz val="10"/>
      <color indexed="5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color indexed="53"/>
      <name val="Arial"/>
      <family val="2"/>
    </font>
    <font>
      <b/>
      <i/>
      <sz val="10"/>
      <color indexed="5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"/>
      <family val="2"/>
    </font>
    <font>
      <i/>
      <sz val="10"/>
      <color indexed="9"/>
      <name val="Arial"/>
      <family val="2"/>
    </font>
    <font>
      <sz val="10"/>
      <color indexed="9"/>
      <name val="Arial"/>
      <family val="2"/>
    </font>
    <font>
      <b/>
      <i/>
      <sz val="8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i/>
      <sz val="10"/>
      <color indexed="55"/>
      <name val="Arial"/>
      <family val="2"/>
    </font>
    <font>
      <sz val="10"/>
      <color indexed="55"/>
      <name val="Arial"/>
      <family val="2"/>
    </font>
    <font>
      <b/>
      <i/>
      <sz val="10"/>
      <color indexed="55"/>
      <name val="Arial"/>
      <family val="2"/>
    </font>
    <font>
      <b/>
      <sz val="10"/>
      <color indexed="55"/>
      <name val="Arial"/>
      <family val="2"/>
    </font>
    <font>
      <b/>
      <i/>
      <sz val="8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"/>
      <family val="2"/>
    </font>
    <font>
      <i/>
      <sz val="10"/>
      <color theme="0"/>
      <name val="Arial"/>
      <family val="2"/>
    </font>
    <font>
      <sz val="10"/>
      <color theme="0"/>
      <name val="Arial"/>
      <family val="2"/>
    </font>
    <font>
      <b/>
      <i/>
      <sz val="8"/>
      <color theme="0"/>
      <name val="Arial"/>
      <family val="2"/>
    </font>
    <font>
      <b/>
      <i/>
      <sz val="10"/>
      <color theme="0"/>
      <name val="Arial"/>
      <family val="2"/>
    </font>
    <font>
      <b/>
      <sz val="10"/>
      <color theme="0"/>
      <name val="Arial"/>
      <family val="2"/>
    </font>
    <font>
      <i/>
      <sz val="10"/>
      <color theme="0" tint="-0.24997000396251678"/>
      <name val="Arial"/>
      <family val="2"/>
    </font>
    <font>
      <sz val="10"/>
      <color theme="0" tint="-0.24997000396251678"/>
      <name val="Arial"/>
      <family val="2"/>
    </font>
    <font>
      <b/>
      <i/>
      <sz val="10"/>
      <color theme="0" tint="-0.24997000396251678"/>
      <name val="Arial"/>
      <family val="2"/>
    </font>
    <font>
      <b/>
      <sz val="10"/>
      <color theme="0" tint="-0.24997000396251678"/>
      <name val="Arial"/>
      <family val="2"/>
    </font>
    <font>
      <b/>
      <i/>
      <sz val="8"/>
      <color theme="0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4" fontId="2" fillId="0" borderId="0" xfId="0" applyNumberFormat="1" applyFont="1" applyAlignment="1">
      <alignment horizontal="right" vertical="top" wrapText="1"/>
    </xf>
    <xf numFmtId="3" fontId="0" fillId="0" borderId="0" xfId="0" applyNumberFormat="1" applyFont="1" applyFill="1" applyAlignment="1">
      <alignment vertical="top" wrapText="1"/>
    </xf>
    <xf numFmtId="4" fontId="2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189" fontId="1" fillId="0" borderId="0" xfId="0" applyNumberFormat="1" applyFont="1" applyFill="1" applyAlignment="1">
      <alignment horizontal="right" vertical="top" wrapText="1"/>
    </xf>
    <xf numFmtId="4" fontId="1" fillId="0" borderId="0" xfId="0" applyNumberFormat="1" applyFont="1" applyFill="1" applyAlignment="1">
      <alignment horizontal="right" vertical="top" wrapText="1"/>
    </xf>
    <xf numFmtId="4" fontId="0" fillId="0" borderId="0" xfId="0" applyNumberFormat="1" applyFont="1" applyFill="1" applyAlignment="1">
      <alignment horizontal="right" vertical="top" wrapText="1"/>
    </xf>
    <xf numFmtId="14" fontId="1" fillId="0" borderId="0" xfId="0" applyNumberFormat="1" applyFont="1" applyFill="1" applyAlignment="1">
      <alignment horizontal="right" vertical="top" wrapText="1"/>
    </xf>
    <xf numFmtId="4" fontId="0" fillId="0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 quotePrefix="1">
      <alignment horizontal="right" vertical="top" wrapText="1"/>
    </xf>
    <xf numFmtId="4" fontId="2" fillId="0" borderId="0" xfId="0" applyNumberFormat="1" applyFont="1" applyAlignment="1">
      <alignment vertical="top" wrapText="1"/>
    </xf>
    <xf numFmtId="3" fontId="0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Alignment="1">
      <alignment horizontal="right" vertical="top" wrapText="1"/>
    </xf>
    <xf numFmtId="3" fontId="0" fillId="0" borderId="0" xfId="0" applyNumberFormat="1" applyFont="1" applyAlignment="1">
      <alignment horizontal="right" vertical="top" wrapText="1"/>
    </xf>
    <xf numFmtId="0" fontId="0" fillId="0" borderId="0" xfId="0" applyFont="1" applyAlignment="1">
      <alignment/>
    </xf>
    <xf numFmtId="190" fontId="3" fillId="0" borderId="0" xfId="0" applyNumberFormat="1" applyFont="1" applyAlignment="1">
      <alignment horizontal="right" vertical="top" wrapText="1"/>
    </xf>
    <xf numFmtId="3" fontId="3" fillId="0" borderId="0" xfId="0" applyNumberFormat="1" applyFont="1" applyAlignment="1">
      <alignment horizontal="right" vertical="top" wrapText="1"/>
    </xf>
    <xf numFmtId="4" fontId="2" fillId="0" borderId="0" xfId="0" applyNumberFormat="1" applyFont="1" applyAlignment="1">
      <alignment horizontal="left" vertical="top" wrapText="1"/>
    </xf>
    <xf numFmtId="3" fontId="3" fillId="0" borderId="0" xfId="0" applyNumberFormat="1" applyFont="1" applyAlignment="1">
      <alignment horizontal="left"/>
    </xf>
    <xf numFmtId="190" fontId="2" fillId="0" borderId="0" xfId="0" applyNumberFormat="1" applyFont="1" applyAlignment="1">
      <alignment horizontal="left" vertical="top" wrapText="1"/>
    </xf>
    <xf numFmtId="190" fontId="3" fillId="0" borderId="0" xfId="0" applyNumberFormat="1" applyFont="1" applyAlignment="1">
      <alignment horizontal="left"/>
    </xf>
    <xf numFmtId="190" fontId="2" fillId="0" borderId="0" xfId="0" applyNumberFormat="1" applyFont="1" applyAlignment="1">
      <alignment horizontal="left"/>
    </xf>
    <xf numFmtId="190" fontId="2" fillId="0" borderId="0" xfId="0" applyNumberFormat="1" applyFont="1" applyFill="1" applyAlignment="1">
      <alignment horizontal="left" vertical="top" wrapText="1"/>
    </xf>
    <xf numFmtId="190" fontId="3" fillId="0" borderId="0" xfId="0" applyNumberFormat="1" applyFont="1" applyAlignment="1">
      <alignment horizontal="left" vertical="top" wrapText="1"/>
    </xf>
    <xf numFmtId="190" fontId="3" fillId="0" borderId="0" xfId="0" applyNumberFormat="1" applyFont="1" applyAlignment="1">
      <alignment horizontal="right"/>
    </xf>
    <xf numFmtId="0" fontId="0" fillId="0" borderId="0" xfId="0" applyFont="1" applyAlignment="1">
      <alignment vertical="top" wrapText="1"/>
    </xf>
    <xf numFmtId="3" fontId="0" fillId="0" borderId="0" xfId="0" applyNumberFormat="1" applyFont="1" applyAlignment="1">
      <alignment vertical="top" wrapText="1"/>
    </xf>
    <xf numFmtId="4" fontId="2" fillId="0" borderId="0" xfId="0" applyNumberFormat="1" applyFont="1" applyAlignment="1">
      <alignment horizontal="right"/>
    </xf>
    <xf numFmtId="0" fontId="0" fillId="0" borderId="0" xfId="0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 vertical="top" wrapText="1"/>
    </xf>
    <xf numFmtId="4" fontId="0" fillId="0" borderId="0" xfId="0" applyNumberFormat="1" applyFont="1" applyAlignment="1">
      <alignment vertical="top" wrapText="1"/>
    </xf>
    <xf numFmtId="190" fontId="0" fillId="0" borderId="0" xfId="0" applyNumberFormat="1" applyFont="1" applyAlignment="1">
      <alignment vertical="top" wrapText="1"/>
    </xf>
    <xf numFmtId="190" fontId="2" fillId="0" borderId="0" xfId="0" applyNumberFormat="1" applyFont="1" applyAlignment="1">
      <alignment vertical="top" wrapText="1"/>
    </xf>
    <xf numFmtId="190" fontId="0" fillId="0" borderId="0" xfId="0" applyNumberFormat="1" applyFont="1" applyAlignment="1">
      <alignment/>
    </xf>
    <xf numFmtId="190" fontId="0" fillId="0" borderId="0" xfId="0" applyNumberFormat="1" applyFont="1" applyAlignment="1">
      <alignment horizontal="right"/>
    </xf>
    <xf numFmtId="190" fontId="0" fillId="0" borderId="0" xfId="0" applyNumberFormat="1" applyFont="1" applyAlignment="1">
      <alignment horizontal="right" vertical="top" wrapText="1"/>
    </xf>
    <xf numFmtId="3" fontId="4" fillId="0" borderId="0" xfId="0" applyNumberFormat="1" applyFont="1" applyAlignment="1">
      <alignment horizontal="right" vertical="top" wrapText="1"/>
    </xf>
    <xf numFmtId="4" fontId="0" fillId="0" borderId="0" xfId="0" applyNumberFormat="1" applyFont="1" applyAlignment="1">
      <alignment wrapText="1"/>
    </xf>
    <xf numFmtId="4" fontId="2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right" wrapText="1"/>
    </xf>
    <xf numFmtId="4" fontId="4" fillId="0" borderId="0" xfId="0" applyNumberFormat="1" applyFont="1" applyAlignment="1">
      <alignment horizontal="right" vertical="top" wrapText="1"/>
    </xf>
    <xf numFmtId="4" fontId="0" fillId="0" borderId="0" xfId="0" applyNumberFormat="1" applyFont="1" applyAlignment="1">
      <alignment/>
    </xf>
    <xf numFmtId="191" fontId="0" fillId="0" borderId="0" xfId="0" applyNumberFormat="1" applyFont="1" applyAlignment="1">
      <alignment vertical="top" wrapText="1"/>
    </xf>
    <xf numFmtId="191" fontId="2" fillId="0" borderId="0" xfId="0" applyNumberFormat="1" applyFont="1" applyAlignment="1">
      <alignment vertical="top" wrapText="1"/>
    </xf>
    <xf numFmtId="191" fontId="0" fillId="0" borderId="0" xfId="0" applyNumberFormat="1" applyFont="1" applyAlignment="1">
      <alignment/>
    </xf>
    <xf numFmtId="191" fontId="0" fillId="0" borderId="0" xfId="0" applyNumberFormat="1" applyFont="1" applyAlignment="1">
      <alignment horizontal="right"/>
    </xf>
    <xf numFmtId="191" fontId="0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0" fontId="0" fillId="0" borderId="0" xfId="0" applyFont="1" applyAlignment="1">
      <alignment horizontal="center" vertical="top" wrapText="1"/>
    </xf>
    <xf numFmtId="4" fontId="0" fillId="0" borderId="0" xfId="0" applyNumberFormat="1" applyAlignment="1">
      <alignment horizontal="center" vertical="top" wrapText="1"/>
    </xf>
    <xf numFmtId="4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3" fontId="0" fillId="0" borderId="0" xfId="0" applyNumberFormat="1" applyFont="1" applyAlignment="1">
      <alignment horizontal="right" vertical="top"/>
    </xf>
    <xf numFmtId="0" fontId="0" fillId="0" borderId="0" xfId="0" applyFont="1" applyAlignment="1" quotePrefix="1">
      <alignment horizontal="right" vertical="top" wrapText="1"/>
    </xf>
    <xf numFmtId="0" fontId="6" fillId="0" borderId="0" xfId="0" applyFont="1" applyAlignment="1">
      <alignment horizontal="center" vertical="top" wrapText="1"/>
    </xf>
    <xf numFmtId="3" fontId="2" fillId="0" borderId="0" xfId="0" applyNumberFormat="1" applyFont="1" applyFill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0" fillId="0" borderId="0" xfId="0" applyFill="1" applyAlignment="1">
      <alignment/>
    </xf>
    <xf numFmtId="4" fontId="2" fillId="0" borderId="0" xfId="0" applyNumberFormat="1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/>
    </xf>
    <xf numFmtId="4" fontId="0" fillId="0" borderId="0" xfId="0" applyNumberFormat="1" applyFill="1" applyAlignment="1">
      <alignment horizontal="right"/>
    </xf>
    <xf numFmtId="4" fontId="0" fillId="0" borderId="0" xfId="0" applyNumberForma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Fill="1" applyAlignment="1">
      <alignment vertical="top" wrapText="1"/>
    </xf>
    <xf numFmtId="3" fontId="1" fillId="0" borderId="0" xfId="0" applyNumberFormat="1" applyFont="1" applyFill="1" applyAlignment="1">
      <alignment horizontal="right" vertical="top" wrapText="1"/>
    </xf>
    <xf numFmtId="0" fontId="55" fillId="33" borderId="0" xfId="0" applyFont="1" applyFill="1" applyAlignment="1">
      <alignment vertical="top" wrapText="1"/>
    </xf>
    <xf numFmtId="4" fontId="56" fillId="33" borderId="0" xfId="0" applyNumberFormat="1" applyFont="1" applyFill="1" applyAlignment="1">
      <alignment vertical="top" wrapText="1"/>
    </xf>
    <xf numFmtId="189" fontId="55" fillId="33" borderId="0" xfId="0" applyNumberFormat="1" applyFont="1" applyFill="1" applyAlignment="1">
      <alignment horizontal="right" vertical="top" wrapText="1"/>
    </xf>
    <xf numFmtId="0" fontId="56" fillId="33" borderId="0" xfId="0" applyFont="1" applyFill="1" applyAlignment="1">
      <alignment vertical="top" wrapText="1"/>
    </xf>
    <xf numFmtId="4" fontId="55" fillId="33" borderId="0" xfId="0" applyNumberFormat="1" applyFont="1" applyFill="1" applyAlignment="1">
      <alignment horizontal="right" vertical="top" wrapText="1"/>
    </xf>
    <xf numFmtId="4" fontId="57" fillId="33" borderId="0" xfId="0" applyNumberFormat="1" applyFont="1" applyFill="1" applyAlignment="1">
      <alignment horizontal="right" vertical="top" wrapText="1"/>
    </xf>
    <xf numFmtId="14" fontId="55" fillId="33" borderId="0" xfId="0" applyNumberFormat="1" applyFont="1" applyFill="1" applyAlignment="1">
      <alignment horizontal="right" vertical="top" wrapText="1"/>
    </xf>
    <xf numFmtId="4" fontId="57" fillId="33" borderId="0" xfId="0" applyNumberFormat="1" applyFont="1" applyFill="1" applyAlignment="1">
      <alignment vertical="top" wrapText="1"/>
    </xf>
    <xf numFmtId="0" fontId="57" fillId="33" borderId="0" xfId="0" applyFont="1" applyFill="1" applyAlignment="1">
      <alignment/>
    </xf>
    <xf numFmtId="188" fontId="55" fillId="33" borderId="0" xfId="0" applyNumberFormat="1" applyFont="1" applyFill="1" applyAlignment="1">
      <alignment vertical="top" wrapText="1"/>
    </xf>
    <xf numFmtId="4" fontId="55" fillId="33" borderId="0" xfId="0" applyNumberFormat="1" applyFont="1" applyFill="1" applyAlignment="1">
      <alignment vertical="top" wrapText="1"/>
    </xf>
    <xf numFmtId="4" fontId="58" fillId="33" borderId="0" xfId="0" applyNumberFormat="1" applyFont="1" applyFill="1" applyAlignment="1">
      <alignment vertical="top" wrapText="1"/>
    </xf>
    <xf numFmtId="4" fontId="59" fillId="33" borderId="0" xfId="0" applyNumberFormat="1" applyFont="1" applyFill="1" applyAlignment="1">
      <alignment vertical="top" wrapText="1"/>
    </xf>
    <xf numFmtId="0" fontId="59" fillId="33" borderId="0" xfId="0" applyFont="1" applyFill="1" applyAlignment="1">
      <alignment vertical="top" wrapText="1"/>
    </xf>
    <xf numFmtId="4" fontId="60" fillId="33" borderId="0" xfId="0" applyNumberFormat="1" applyFont="1" applyFill="1" applyAlignment="1">
      <alignment horizontal="right" vertical="top" wrapText="1"/>
    </xf>
    <xf numFmtId="4" fontId="60" fillId="33" borderId="0" xfId="0" applyNumberFormat="1" applyFont="1" applyFill="1" applyAlignment="1">
      <alignment vertical="top" wrapText="1"/>
    </xf>
    <xf numFmtId="0" fontId="60" fillId="33" borderId="0" xfId="0" applyFont="1" applyFill="1" applyAlignment="1">
      <alignment/>
    </xf>
    <xf numFmtId="0" fontId="0" fillId="0" borderId="0" xfId="0" applyAlignment="1">
      <alignment wrapText="1"/>
    </xf>
    <xf numFmtId="0" fontId="0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3" fontId="0" fillId="0" borderId="10" xfId="0" applyNumberFormat="1" applyFont="1" applyBorder="1" applyAlignment="1">
      <alignment horizontal="right" vertical="top" wrapText="1"/>
    </xf>
    <xf numFmtId="4" fontId="0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/>
    </xf>
    <xf numFmtId="4" fontId="61" fillId="0" borderId="0" xfId="0" applyNumberFormat="1" applyFont="1" applyAlignment="1">
      <alignment vertical="top" wrapText="1"/>
    </xf>
    <xf numFmtId="4" fontId="61" fillId="0" borderId="0" xfId="0" applyNumberFormat="1" applyFont="1" applyAlignment="1">
      <alignment/>
    </xf>
    <xf numFmtId="0" fontId="62" fillId="0" borderId="0" xfId="0" applyFont="1" applyAlignment="1">
      <alignment horizontal="center" vertical="top" wrapText="1"/>
    </xf>
    <xf numFmtId="4" fontId="61" fillId="33" borderId="11" xfId="0" applyNumberFormat="1" applyFont="1" applyFill="1" applyBorder="1" applyAlignment="1">
      <alignment vertical="top" wrapText="1"/>
    </xf>
    <xf numFmtId="4" fontId="61" fillId="0" borderId="11" xfId="0" applyNumberFormat="1" applyFont="1" applyBorder="1" applyAlignment="1">
      <alignment vertical="top" wrapText="1"/>
    </xf>
    <xf numFmtId="4" fontId="61" fillId="0" borderId="11" xfId="0" applyNumberFormat="1" applyFont="1" applyBorder="1" applyAlignment="1">
      <alignment/>
    </xf>
    <xf numFmtId="0" fontId="62" fillId="0" borderId="11" xfId="0" applyFont="1" applyBorder="1" applyAlignment="1">
      <alignment horizontal="center" vertical="top" wrapText="1"/>
    </xf>
    <xf numFmtId="0" fontId="61" fillId="0" borderId="11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4" fontId="4" fillId="0" borderId="10" xfId="0" applyNumberFormat="1" applyFont="1" applyBorder="1" applyAlignment="1">
      <alignment wrapText="1"/>
    </xf>
    <xf numFmtId="4" fontId="63" fillId="0" borderId="12" xfId="0" applyNumberFormat="1" applyFont="1" applyBorder="1" applyAlignment="1">
      <alignment vertical="top" wrapText="1"/>
    </xf>
    <xf numFmtId="3" fontId="4" fillId="0" borderId="10" xfId="0" applyNumberFormat="1" applyFont="1" applyBorder="1" applyAlignment="1">
      <alignment horizontal="right" vertical="top" wrapText="1"/>
    </xf>
    <xf numFmtId="4" fontId="64" fillId="0" borderId="12" xfId="0" applyNumberFormat="1" applyFont="1" applyBorder="1" applyAlignment="1">
      <alignment horizontal="right" vertical="top" wrapText="1"/>
    </xf>
    <xf numFmtId="4" fontId="4" fillId="0" borderId="0" xfId="0" applyNumberFormat="1" applyFont="1" applyAlignment="1">
      <alignment wrapText="1"/>
    </xf>
    <xf numFmtId="4" fontId="63" fillId="0" borderId="11" xfId="0" applyNumberFormat="1" applyFont="1" applyBorder="1" applyAlignment="1">
      <alignment wrapText="1"/>
    </xf>
    <xf numFmtId="4" fontId="7" fillId="0" borderId="0" xfId="0" applyNumberFormat="1" applyFont="1" applyAlignment="1">
      <alignment wrapText="1"/>
    </xf>
    <xf numFmtId="4" fontId="4" fillId="0" borderId="0" xfId="0" applyNumberFormat="1" applyFont="1" applyAlignment="1">
      <alignment/>
    </xf>
    <xf numFmtId="191" fontId="4" fillId="0" borderId="0" xfId="0" applyNumberFormat="1" applyFont="1" applyAlignment="1">
      <alignment vertical="top" wrapText="1"/>
    </xf>
    <xf numFmtId="4" fontId="63" fillId="0" borderId="11" xfId="0" applyNumberFormat="1" applyFont="1" applyBorder="1" applyAlignment="1">
      <alignment vertical="top" wrapText="1"/>
    </xf>
    <xf numFmtId="191" fontId="4" fillId="0" borderId="0" xfId="0" applyNumberFormat="1" applyFont="1" applyAlignment="1">
      <alignment/>
    </xf>
    <xf numFmtId="191" fontId="7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4" fontId="61" fillId="0" borderId="0" xfId="0" applyNumberFormat="1" applyFont="1" applyAlignment="1">
      <alignment horizontal="right" vertical="top" wrapText="1"/>
    </xf>
    <xf numFmtId="190" fontId="2" fillId="0" borderId="10" xfId="0" applyNumberFormat="1" applyFont="1" applyBorder="1" applyAlignment="1">
      <alignment horizontal="left" vertical="top" wrapText="1"/>
    </xf>
    <xf numFmtId="190" fontId="3" fillId="0" borderId="10" xfId="0" applyNumberFormat="1" applyFont="1" applyBorder="1" applyAlignment="1">
      <alignment horizontal="left"/>
    </xf>
    <xf numFmtId="190" fontId="2" fillId="0" borderId="10" xfId="0" applyNumberFormat="1" applyFont="1" applyBorder="1" applyAlignment="1">
      <alignment horizontal="left"/>
    </xf>
    <xf numFmtId="190" fontId="2" fillId="0" borderId="10" xfId="0" applyNumberFormat="1" applyFont="1" applyFill="1" applyBorder="1" applyAlignment="1">
      <alignment horizontal="left" vertical="top" wrapText="1"/>
    </xf>
    <xf numFmtId="190" fontId="3" fillId="0" borderId="10" xfId="0" applyNumberFormat="1" applyFont="1" applyBorder="1" applyAlignment="1">
      <alignment horizontal="left" vertical="top" wrapText="1"/>
    </xf>
    <xf numFmtId="190" fontId="3" fillId="0" borderId="10" xfId="0" applyNumberFormat="1" applyFont="1" applyBorder="1" applyAlignment="1">
      <alignment horizontal="right"/>
    </xf>
    <xf numFmtId="0" fontId="0" fillId="0" borderId="0" xfId="0" applyFont="1" applyAlignment="1">
      <alignment wrapText="1"/>
    </xf>
    <xf numFmtId="4" fontId="65" fillId="33" borderId="0" xfId="0" applyNumberFormat="1" applyFont="1" applyFill="1" applyAlignment="1">
      <alignment vertical="top" wrapText="1"/>
    </xf>
    <xf numFmtId="0" fontId="2" fillId="0" borderId="10" xfId="0" applyFont="1" applyBorder="1" applyAlignment="1">
      <alignment vertical="top" wrapText="1"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/>
    </xf>
    <xf numFmtId="3" fontId="4" fillId="0" borderId="10" xfId="0" applyNumberFormat="1" applyFont="1" applyBorder="1" applyAlignment="1">
      <alignment vertical="top" wrapText="1"/>
    </xf>
    <xf numFmtId="4" fontId="4" fillId="0" borderId="0" xfId="0" applyNumberFormat="1" applyFont="1" applyAlignment="1">
      <alignment horizontal="right" wrapText="1"/>
    </xf>
    <xf numFmtId="3" fontId="4" fillId="0" borderId="0" xfId="0" applyNumberFormat="1" applyFont="1" applyAlignment="1">
      <alignment vertical="top" wrapText="1"/>
    </xf>
    <xf numFmtId="4" fontId="65" fillId="33" borderId="0" xfId="0" applyNumberFormat="1" applyFont="1" applyFill="1" applyBorder="1" applyAlignment="1">
      <alignment vertical="top" wrapText="1"/>
    </xf>
    <xf numFmtId="188" fontId="55" fillId="33" borderId="0" xfId="0" applyNumberFormat="1" applyFont="1" applyFill="1" applyBorder="1" applyAlignment="1">
      <alignment vertical="top" wrapText="1"/>
    </xf>
    <xf numFmtId="4" fontId="63" fillId="33" borderId="0" xfId="0" applyNumberFormat="1" applyFont="1" applyFill="1" applyBorder="1" applyAlignment="1">
      <alignment vertical="top" wrapText="1"/>
    </xf>
    <xf numFmtId="189" fontId="55" fillId="33" borderId="0" xfId="0" applyNumberFormat="1" applyFont="1" applyFill="1" applyBorder="1" applyAlignment="1">
      <alignment horizontal="right" vertical="top" wrapText="1"/>
    </xf>
    <xf numFmtId="0" fontId="59" fillId="33" borderId="0" xfId="0" applyFont="1" applyFill="1" applyBorder="1" applyAlignment="1">
      <alignment vertical="top" wrapText="1"/>
    </xf>
    <xf numFmtId="4" fontId="61" fillId="0" borderId="0" xfId="0" applyNumberFormat="1" applyFont="1" applyBorder="1" applyAlignment="1">
      <alignment horizontal="right" vertical="top" wrapText="1"/>
    </xf>
    <xf numFmtId="3" fontId="0" fillId="0" borderId="0" xfId="0" applyNumberFormat="1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horizontal="right" vertical="top" wrapText="1"/>
    </xf>
    <xf numFmtId="3" fontId="61" fillId="0" borderId="0" xfId="0" applyNumberFormat="1" applyFont="1" applyFill="1" applyBorder="1" applyAlignment="1">
      <alignment vertical="top" wrapText="1"/>
    </xf>
    <xf numFmtId="3" fontId="0" fillId="0" borderId="0" xfId="0" applyNumberFormat="1" applyFont="1" applyBorder="1" applyAlignment="1" quotePrefix="1">
      <alignment horizontal="right" vertical="top" wrapText="1"/>
    </xf>
    <xf numFmtId="3" fontId="2" fillId="0" borderId="0" xfId="0" applyNumberFormat="1" applyFont="1" applyFill="1" applyBorder="1" applyAlignment="1">
      <alignment vertical="top" wrapText="1"/>
    </xf>
    <xf numFmtId="4" fontId="61" fillId="0" borderId="0" xfId="0" applyNumberFormat="1" applyFont="1" applyBorder="1" applyAlignment="1">
      <alignment vertical="top" wrapText="1"/>
    </xf>
    <xf numFmtId="3" fontId="0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vertical="top" wrapText="1"/>
    </xf>
    <xf numFmtId="4" fontId="61" fillId="0" borderId="0" xfId="0" applyNumberFormat="1" applyFont="1" applyBorder="1" applyAlignment="1">
      <alignment horizontal="left" vertical="top" wrapText="1"/>
    </xf>
    <xf numFmtId="190" fontId="61" fillId="0" borderId="0" xfId="0" applyNumberFormat="1" applyFont="1" applyBorder="1" applyAlignment="1">
      <alignment horizontal="left" vertical="top" wrapText="1"/>
    </xf>
    <xf numFmtId="190" fontId="3" fillId="0" borderId="0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vertical="top" wrapText="1"/>
    </xf>
    <xf numFmtId="3" fontId="0" fillId="0" borderId="0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190" fontId="0" fillId="0" borderId="0" xfId="0" applyNumberFormat="1" applyFont="1" applyBorder="1" applyAlignment="1">
      <alignment/>
    </xf>
    <xf numFmtId="190" fontId="2" fillId="0" borderId="0" xfId="0" applyNumberFormat="1" applyFont="1" applyBorder="1" applyAlignment="1">
      <alignment vertical="top" wrapText="1"/>
    </xf>
    <xf numFmtId="190" fontId="61" fillId="0" borderId="0" xfId="0" applyNumberFormat="1" applyFont="1" applyBorder="1" applyAlignment="1">
      <alignment horizontal="right" vertical="top" wrapText="1"/>
    </xf>
    <xf numFmtId="190" fontId="2" fillId="0" borderId="0" xfId="0" applyNumberFormat="1" applyFont="1" applyBorder="1" applyAlignment="1">
      <alignment horizontal="left" vertical="top" wrapText="1"/>
    </xf>
    <xf numFmtId="4" fontId="63" fillId="0" borderId="0" xfId="0" applyNumberFormat="1" applyFont="1" applyBorder="1" applyAlignment="1">
      <alignment vertical="top" wrapText="1"/>
    </xf>
    <xf numFmtId="3" fontId="4" fillId="0" borderId="0" xfId="0" applyNumberFormat="1" applyFont="1" applyBorder="1" applyAlignment="1">
      <alignment vertical="top" wrapText="1"/>
    </xf>
    <xf numFmtId="3" fontId="4" fillId="0" borderId="0" xfId="0" applyNumberFormat="1" applyFont="1" applyBorder="1" applyAlignment="1">
      <alignment horizontal="right" vertical="top" wrapText="1"/>
    </xf>
    <xf numFmtId="4" fontId="63" fillId="0" borderId="0" xfId="0" applyNumberFormat="1" applyFont="1" applyBorder="1" applyAlignment="1">
      <alignment wrapText="1"/>
    </xf>
    <xf numFmtId="4" fontId="4" fillId="0" borderId="0" xfId="0" applyNumberFormat="1" applyFont="1" applyBorder="1" applyAlignment="1">
      <alignment horizontal="right" wrapText="1"/>
    </xf>
    <xf numFmtId="4" fontId="4" fillId="0" borderId="0" xfId="0" applyNumberFormat="1" applyFont="1" applyBorder="1" applyAlignment="1">
      <alignment horizontal="right" vertical="top" wrapText="1"/>
    </xf>
    <xf numFmtId="4" fontId="7" fillId="0" borderId="0" xfId="0" applyNumberFormat="1" applyFont="1" applyBorder="1" applyAlignment="1">
      <alignment wrapText="1"/>
    </xf>
    <xf numFmtId="4" fontId="4" fillId="0" borderId="0" xfId="0" applyNumberFormat="1" applyFont="1" applyBorder="1" applyAlignment="1">
      <alignment wrapText="1"/>
    </xf>
    <xf numFmtId="4" fontId="4" fillId="0" borderId="0" xfId="0" applyNumberFormat="1" applyFont="1" applyBorder="1" applyAlignment="1">
      <alignment/>
    </xf>
    <xf numFmtId="191" fontId="63" fillId="0" borderId="0" xfId="0" applyNumberFormat="1" applyFont="1" applyBorder="1" applyAlignment="1">
      <alignment vertical="top" wrapText="1"/>
    </xf>
    <xf numFmtId="191" fontId="4" fillId="0" borderId="0" xfId="0" applyNumberFormat="1" applyFont="1" applyBorder="1" applyAlignment="1">
      <alignment vertical="top" wrapText="1"/>
    </xf>
    <xf numFmtId="191" fontId="4" fillId="0" borderId="0" xfId="0" applyNumberFormat="1" applyFont="1" applyBorder="1" applyAlignment="1">
      <alignment/>
    </xf>
    <xf numFmtId="191" fontId="7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4" fontId="61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61" fillId="0" borderId="0" xfId="0" applyFont="1" applyBorder="1" applyAlignment="1">
      <alignment horizontal="center" vertical="top" wrapText="1"/>
    </xf>
    <xf numFmtId="4" fontId="61" fillId="0" borderId="0" xfId="0" applyNumberFormat="1" applyFont="1" applyBorder="1" applyAlignment="1">
      <alignment horizontal="center" vertical="top" wrapText="1"/>
    </xf>
    <xf numFmtId="0" fontId="61" fillId="0" borderId="0" xfId="0" applyFont="1" applyBorder="1" applyAlignment="1">
      <alignment/>
    </xf>
    <xf numFmtId="4" fontId="61" fillId="0" borderId="0" xfId="0" applyNumberFormat="1" applyFont="1" applyBorder="1" applyAlignment="1">
      <alignment/>
    </xf>
    <xf numFmtId="188" fontId="55" fillId="33" borderId="11" xfId="0" applyNumberFormat="1" applyFont="1" applyFill="1" applyBorder="1" applyAlignment="1">
      <alignment vertical="top" wrapText="1"/>
    </xf>
    <xf numFmtId="3" fontId="0" fillId="0" borderId="11" xfId="0" applyNumberFormat="1" applyFont="1" applyFill="1" applyBorder="1" applyAlignment="1">
      <alignment vertical="top" wrapText="1"/>
    </xf>
    <xf numFmtId="3" fontId="0" fillId="0" borderId="11" xfId="0" applyNumberFormat="1" applyFont="1" applyBorder="1" applyAlignment="1" quotePrefix="1">
      <alignment horizontal="right" vertical="top" wrapText="1"/>
    </xf>
    <xf numFmtId="3" fontId="3" fillId="0" borderId="11" xfId="0" applyNumberFormat="1" applyFont="1" applyBorder="1" applyAlignment="1">
      <alignment horizontal="right" vertical="top" wrapText="1"/>
    </xf>
    <xf numFmtId="3" fontId="0" fillId="0" borderId="11" xfId="0" applyNumberFormat="1" applyFont="1" applyBorder="1" applyAlignment="1">
      <alignment vertical="top" wrapText="1"/>
    </xf>
    <xf numFmtId="3" fontId="4" fillId="0" borderId="11" xfId="0" applyNumberFormat="1" applyFont="1" applyBorder="1" applyAlignment="1">
      <alignment vertical="top" wrapText="1"/>
    </xf>
    <xf numFmtId="4" fontId="4" fillId="0" borderId="11" xfId="0" applyNumberFormat="1" applyFont="1" applyBorder="1" applyAlignment="1">
      <alignment horizontal="right" wrapText="1"/>
    </xf>
    <xf numFmtId="4" fontId="4" fillId="0" borderId="11" xfId="0" applyNumberFormat="1" applyFont="1" applyBorder="1" applyAlignment="1">
      <alignment wrapText="1"/>
    </xf>
    <xf numFmtId="191" fontId="4" fillId="0" borderId="11" xfId="0" applyNumberFormat="1" applyFont="1" applyBorder="1" applyAlignment="1">
      <alignment vertical="top" wrapText="1"/>
    </xf>
    <xf numFmtId="0" fontId="6" fillId="0" borderId="11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189" fontId="55" fillId="33" borderId="11" xfId="0" applyNumberFormat="1" applyFont="1" applyFill="1" applyBorder="1" applyAlignment="1">
      <alignment horizontal="right" vertical="top" wrapText="1"/>
    </xf>
    <xf numFmtId="3" fontId="0" fillId="0" borderId="11" xfId="0" applyNumberFormat="1" applyFont="1" applyFill="1" applyBorder="1" applyAlignment="1">
      <alignment horizontal="right" vertical="top" wrapText="1"/>
    </xf>
    <xf numFmtId="3" fontId="0" fillId="0" borderId="11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 vertical="top" wrapText="1"/>
    </xf>
    <xf numFmtId="0" fontId="0" fillId="0" borderId="11" xfId="0" applyFont="1" applyBorder="1" applyAlignment="1">
      <alignment horizontal="right" vertical="top" wrapText="1"/>
    </xf>
    <xf numFmtId="190" fontId="0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/>
    </xf>
    <xf numFmtId="191" fontId="4" fillId="0" borderId="11" xfId="0" applyNumberFormat="1" applyFont="1" applyBorder="1" applyAlignment="1">
      <alignment/>
    </xf>
    <xf numFmtId="190" fontId="3" fillId="0" borderId="11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left"/>
    </xf>
    <xf numFmtId="4" fontId="6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90" fontId="0" fillId="0" borderId="0" xfId="0" applyNumberFormat="1" applyFont="1" applyBorder="1" applyAlignment="1">
      <alignment horizontal="left"/>
    </xf>
    <xf numFmtId="0" fontId="0" fillId="0" borderId="11" xfId="0" applyFont="1" applyBorder="1" applyAlignment="1">
      <alignment/>
    </xf>
    <xf numFmtId="4" fontId="61" fillId="33" borderId="0" xfId="0" applyNumberFormat="1" applyFont="1" applyFill="1" applyBorder="1" applyAlignment="1">
      <alignment vertical="top" wrapText="1"/>
    </xf>
    <xf numFmtId="0" fontId="56" fillId="33" borderId="0" xfId="0" applyFont="1" applyFill="1" applyBorder="1" applyAlignment="1">
      <alignment vertical="top" wrapText="1"/>
    </xf>
    <xf numFmtId="0" fontId="62" fillId="0" borderId="0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0" fontId="0" fillId="0" borderId="11" xfId="0" applyFont="1" applyBorder="1" applyAlignment="1" quotePrefix="1">
      <alignment horizontal="right" vertical="top" wrapText="1"/>
    </xf>
    <xf numFmtId="0" fontId="2" fillId="0" borderId="11" xfId="0" applyFont="1" applyBorder="1" applyAlignment="1">
      <alignment horizontal="center" vertical="top" wrapText="1"/>
    </xf>
    <xf numFmtId="4" fontId="63" fillId="0" borderId="10" xfId="0" applyNumberFormat="1" applyFont="1" applyBorder="1" applyAlignment="1">
      <alignment vertical="top" wrapText="1"/>
    </xf>
    <xf numFmtId="3" fontId="4" fillId="0" borderId="12" xfId="0" applyNumberFormat="1" applyFont="1" applyBorder="1" applyAlignment="1">
      <alignment horizontal="right" vertical="top" wrapText="1"/>
    </xf>
    <xf numFmtId="4" fontId="64" fillId="0" borderId="10" xfId="0" applyNumberFormat="1" applyFont="1" applyBorder="1" applyAlignment="1">
      <alignment horizontal="right" vertical="top" wrapText="1"/>
    </xf>
    <xf numFmtId="3" fontId="4" fillId="0" borderId="12" xfId="0" applyNumberFormat="1" applyFont="1" applyBorder="1" applyAlignment="1">
      <alignment vertical="top" wrapText="1"/>
    </xf>
    <xf numFmtId="4" fontId="7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/>
    </xf>
    <xf numFmtId="4" fontId="63" fillId="0" borderId="0" xfId="0" applyNumberFormat="1" applyFont="1" applyAlignment="1">
      <alignment wrapText="1"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vertical="top" wrapText="1"/>
    </xf>
    <xf numFmtId="4" fontId="63" fillId="0" borderId="0" xfId="0" applyNumberFormat="1" applyFont="1" applyAlignment="1">
      <alignment vertical="top" wrapText="1"/>
    </xf>
    <xf numFmtId="4" fontId="7" fillId="0" borderId="0" xfId="0" applyNumberFormat="1" applyFont="1" applyAlignment="1">
      <alignment vertical="top" wrapText="1"/>
    </xf>
    <xf numFmtId="0" fontId="4" fillId="0" borderId="0" xfId="0" applyFont="1" applyAlignment="1">
      <alignment/>
    </xf>
    <xf numFmtId="4" fontId="58" fillId="33" borderId="0" xfId="0" applyNumberFormat="1" applyFont="1" applyFill="1" applyBorder="1" applyAlignment="1">
      <alignment vertical="top" wrapText="1"/>
    </xf>
    <xf numFmtId="4" fontId="2" fillId="0" borderId="0" xfId="0" applyNumberFormat="1" applyFont="1" applyBorder="1" applyAlignment="1">
      <alignment horizontal="right" vertical="top" wrapText="1"/>
    </xf>
    <xf numFmtId="4" fontId="7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4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/>
    </xf>
    <xf numFmtId="190" fontId="62" fillId="0" borderId="0" xfId="0" applyNumberFormat="1" applyFont="1" applyBorder="1" applyAlignment="1">
      <alignment/>
    </xf>
    <xf numFmtId="0" fontId="62" fillId="0" borderId="0" xfId="0" applyFont="1" applyBorder="1" applyAlignment="1">
      <alignment/>
    </xf>
    <xf numFmtId="197" fontId="62" fillId="33" borderId="0" xfId="0" applyNumberFormat="1" applyFont="1" applyFill="1" applyBorder="1" applyAlignment="1">
      <alignment/>
    </xf>
    <xf numFmtId="197" fontId="65" fillId="33" borderId="0" xfId="0" applyNumberFormat="1" applyFont="1" applyFill="1" applyBorder="1" applyAlignment="1">
      <alignment vertical="top" wrapText="1"/>
    </xf>
    <xf numFmtId="197" fontId="55" fillId="33" borderId="11" xfId="0" applyNumberFormat="1" applyFont="1" applyFill="1" applyBorder="1" applyAlignment="1">
      <alignment/>
    </xf>
    <xf numFmtId="0" fontId="64" fillId="0" borderId="10" xfId="0" applyFont="1" applyBorder="1" applyAlignment="1">
      <alignment/>
    </xf>
    <xf numFmtId="4" fontId="64" fillId="0" borderId="0" xfId="0" applyNumberFormat="1" applyFont="1" applyBorder="1" applyAlignment="1">
      <alignment/>
    </xf>
    <xf numFmtId="191" fontId="64" fillId="0" borderId="0" xfId="0" applyNumberFormat="1" applyFont="1" applyBorder="1" applyAlignment="1">
      <alignment/>
    </xf>
    <xf numFmtId="0" fontId="64" fillId="0" borderId="0" xfId="0" applyFont="1" applyBorder="1" applyAlignment="1">
      <alignment/>
    </xf>
    <xf numFmtId="4" fontId="7" fillId="0" borderId="0" xfId="0" applyNumberFormat="1" applyFont="1" applyAlignment="1">
      <alignment horizontal="right" wrapText="1"/>
    </xf>
    <xf numFmtId="191" fontId="4" fillId="0" borderId="0" xfId="0" applyNumberFormat="1" applyFont="1" applyAlignment="1">
      <alignment horizontal="right"/>
    </xf>
    <xf numFmtId="191" fontId="4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vertical="top"/>
    </xf>
    <xf numFmtId="0" fontId="64" fillId="0" borderId="0" xfId="0" applyFont="1" applyBorder="1" applyAlignment="1">
      <alignment/>
    </xf>
    <xf numFmtId="3" fontId="64" fillId="0" borderId="0" xfId="0" applyNumberFormat="1" applyFont="1" applyBorder="1" applyAlignment="1">
      <alignment/>
    </xf>
    <xf numFmtId="3" fontId="4" fillId="0" borderId="11" xfId="0" applyNumberFormat="1" applyFont="1" applyBorder="1" applyAlignment="1">
      <alignment vertical="top"/>
    </xf>
    <xf numFmtId="0" fontId="55" fillId="33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190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horizontal="left" vertical="top" wrapText="1"/>
    </xf>
    <xf numFmtId="3" fontId="61" fillId="0" borderId="0" xfId="0" applyNumberFormat="1" applyFont="1" applyBorder="1" applyAlignment="1">
      <alignment vertical="top" wrapText="1"/>
    </xf>
    <xf numFmtId="188" fontId="55" fillId="34" borderId="0" xfId="0" applyNumberFormat="1" applyFont="1" applyFill="1" applyAlignment="1">
      <alignment vertical="top" wrapText="1"/>
    </xf>
    <xf numFmtId="4" fontId="55" fillId="34" borderId="0" xfId="0" applyNumberFormat="1" applyFont="1" applyFill="1" applyAlignment="1">
      <alignment vertical="top" wrapText="1"/>
    </xf>
    <xf numFmtId="0" fontId="56" fillId="34" borderId="0" xfId="0" applyFont="1" applyFill="1" applyAlignment="1">
      <alignment vertical="top" wrapText="1"/>
    </xf>
    <xf numFmtId="189" fontId="55" fillId="34" borderId="0" xfId="0" applyNumberFormat="1" applyFont="1" applyFill="1" applyAlignment="1">
      <alignment horizontal="right" vertical="top" wrapText="1"/>
    </xf>
    <xf numFmtId="4" fontId="55" fillId="34" borderId="0" xfId="0" applyNumberFormat="1" applyFont="1" applyFill="1" applyAlignment="1">
      <alignment horizontal="right" vertical="top" wrapText="1"/>
    </xf>
    <xf numFmtId="4" fontId="57" fillId="34" borderId="0" xfId="0" applyNumberFormat="1" applyFont="1" applyFill="1" applyAlignment="1">
      <alignment horizontal="right" vertical="top" wrapText="1"/>
    </xf>
    <xf numFmtId="14" fontId="55" fillId="34" borderId="0" xfId="0" applyNumberFormat="1" applyFont="1" applyFill="1" applyAlignment="1">
      <alignment horizontal="right" vertical="top" wrapText="1"/>
    </xf>
    <xf numFmtId="4" fontId="57" fillId="34" borderId="0" xfId="0" applyNumberFormat="1" applyFont="1" applyFill="1" applyAlignment="1">
      <alignment vertical="top" wrapText="1"/>
    </xf>
    <xf numFmtId="0" fontId="57" fillId="34" borderId="0" xfId="0" applyFont="1" applyFill="1" applyAlignment="1">
      <alignment/>
    </xf>
    <xf numFmtId="3" fontId="61" fillId="0" borderId="0" xfId="0" applyNumberFormat="1" applyFont="1" applyBorder="1" applyAlignment="1">
      <alignment horizontal="right" vertical="top" wrapText="1"/>
    </xf>
    <xf numFmtId="0" fontId="55" fillId="33" borderId="0" xfId="57" applyFont="1" applyFill="1" applyAlignment="1">
      <alignment vertical="top" wrapText="1"/>
      <protection/>
    </xf>
    <xf numFmtId="0" fontId="57" fillId="33" borderId="0" xfId="57" applyFont="1" applyFill="1">
      <alignment/>
      <protection/>
    </xf>
    <xf numFmtId="0" fontId="0" fillId="0" borderId="0" xfId="57" applyFont="1" applyAlignment="1">
      <alignment horizontal="left" vertical="top" wrapText="1"/>
      <protection/>
    </xf>
    <xf numFmtId="0" fontId="0" fillId="0" borderId="0" xfId="57" applyFont="1" applyAlignment="1">
      <alignment vertical="top" wrapText="1"/>
      <protection/>
    </xf>
    <xf numFmtId="0" fontId="0" fillId="0" borderId="0" xfId="57" applyFont="1">
      <alignment/>
      <protection/>
    </xf>
    <xf numFmtId="0" fontId="57" fillId="34" borderId="0" xfId="57" applyFont="1" applyFill="1">
      <alignment/>
      <protection/>
    </xf>
    <xf numFmtId="0" fontId="0" fillId="0" borderId="0" xfId="57" applyFont="1" applyFill="1" applyAlignment="1">
      <alignment vertical="top" wrapText="1"/>
      <protection/>
    </xf>
    <xf numFmtId="190" fontId="3" fillId="0" borderId="0" xfId="57" applyNumberFormat="1" applyFont="1" applyAlignment="1">
      <alignment horizontal="right"/>
      <protection/>
    </xf>
    <xf numFmtId="190" fontId="0" fillId="0" borderId="0" xfId="57" applyNumberFormat="1" applyFont="1">
      <alignment/>
      <protection/>
    </xf>
    <xf numFmtId="0" fontId="4" fillId="0" borderId="10" xfId="57" applyFont="1" applyBorder="1">
      <alignment/>
      <protection/>
    </xf>
    <xf numFmtId="4" fontId="4" fillId="0" borderId="0" xfId="57" applyNumberFormat="1" applyFont="1">
      <alignment/>
      <protection/>
    </xf>
    <xf numFmtId="191" fontId="4" fillId="0" borderId="0" xfId="57" applyNumberFormat="1" applyFont="1">
      <alignment/>
      <protection/>
    </xf>
    <xf numFmtId="0" fontId="4" fillId="0" borderId="0" xfId="57" applyFont="1">
      <alignment/>
      <protection/>
    </xf>
    <xf numFmtId="0" fontId="0" fillId="0" borderId="0" xfId="57">
      <alignment/>
      <protection/>
    </xf>
    <xf numFmtId="4" fontId="61" fillId="0" borderId="0" xfId="57" applyNumberFormat="1" applyFont="1" applyBorder="1">
      <alignment/>
      <protection/>
    </xf>
    <xf numFmtId="0" fontId="0" fillId="0" borderId="11" xfId="57" applyBorder="1">
      <alignment/>
      <protection/>
    </xf>
    <xf numFmtId="200" fontId="61" fillId="0" borderId="0" xfId="0" applyNumberFormat="1" applyFont="1" applyBorder="1" applyAlignment="1">
      <alignment horizontal="right" vertical="top" wrapText="1"/>
    </xf>
    <xf numFmtId="0" fontId="0" fillId="0" borderId="0" xfId="0" applyFont="1" applyAlignment="1">
      <alignment horizontal="left" vertical="top" wrapText="1"/>
    </xf>
    <xf numFmtId="201" fontId="61" fillId="0" borderId="0" xfId="0" applyNumberFormat="1" applyFont="1" applyBorder="1" applyAlignment="1">
      <alignment horizontal="righ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6"/>
  <sheetViews>
    <sheetView showGridLines="0" zoomScalePageLayoutView="0" workbookViewId="0" topLeftCell="A1">
      <selection activeCell="A40" sqref="A40"/>
    </sheetView>
  </sheetViews>
  <sheetFormatPr defaultColWidth="11.421875" defaultRowHeight="12.75"/>
  <cols>
    <col min="1" max="1" width="31.28125" style="0" customWidth="1"/>
    <col min="2" max="2" width="34.8515625" style="0" customWidth="1"/>
    <col min="3" max="3" width="37.140625" style="0" customWidth="1"/>
    <col min="4" max="4" width="11.57421875" style="110" customWidth="1"/>
    <col min="5" max="5" width="12.421875" style="0" customWidth="1"/>
    <col min="6" max="6" width="10.7109375" style="110" customWidth="1"/>
    <col min="7" max="7" width="11.421875" style="0" customWidth="1"/>
    <col min="8" max="8" width="11.421875" style="110" customWidth="1"/>
    <col min="9" max="9" width="12.7109375" style="0" customWidth="1"/>
    <col min="10" max="10" width="11.421875" style="110" customWidth="1"/>
    <col min="11" max="11" width="13.28125" style="0" customWidth="1"/>
    <col min="12" max="12" width="9.140625" style="54" hidden="1" customWidth="1"/>
    <col min="13" max="13" width="9.140625" style="0" hidden="1" customWidth="1"/>
    <col min="14" max="14" width="11.421875" style="110" customWidth="1"/>
    <col min="15" max="15" width="13.00390625" style="0" customWidth="1"/>
    <col min="16" max="16" width="11.421875" style="16" customWidth="1"/>
    <col min="17" max="17" width="12.421875" style="0" customWidth="1"/>
    <col min="18" max="18" width="11.421875" style="54" customWidth="1"/>
    <col min="19" max="19" width="12.28125" style="0" customWidth="1"/>
    <col min="20" max="20" width="11.421875" style="54" customWidth="1"/>
    <col min="21" max="21" width="11.421875" style="0" customWidth="1"/>
    <col min="22" max="22" width="9.140625" style="54" hidden="1" customWidth="1"/>
    <col min="23" max="23" width="9.140625" style="0" hidden="1" customWidth="1"/>
    <col min="24" max="24" width="9.140625" style="54" hidden="1" customWidth="1"/>
    <col min="25" max="25" width="9.140625" style="0" hidden="1" customWidth="1"/>
    <col min="26" max="26" width="11.57421875" style="55" hidden="1" customWidth="1"/>
    <col min="27" max="27" width="9.140625" style="0" hidden="1" customWidth="1"/>
    <col min="28" max="28" width="9.140625" style="55" hidden="1" customWidth="1"/>
    <col min="29" max="29" width="9.140625" style="0" hidden="1" customWidth="1"/>
    <col min="30" max="30" width="11.57421875" style="56" hidden="1" customWidth="1"/>
    <col min="31" max="33" width="9.140625" style="0" hidden="1" customWidth="1"/>
    <col min="34" max="37" width="11.421875" style="0" hidden="1" customWidth="1"/>
    <col min="38" max="38" width="11.421875" style="0" customWidth="1"/>
    <col min="39" max="40" width="9.140625" style="0" hidden="1" customWidth="1"/>
  </cols>
  <sheetData>
    <row r="1" spans="1:37" s="87" customFormat="1" ht="22.5" customHeight="1">
      <c r="A1" s="79" t="s">
        <v>39</v>
      </c>
      <c r="B1" s="79" t="s">
        <v>40</v>
      </c>
      <c r="C1" s="79" t="s">
        <v>41</v>
      </c>
      <c r="D1" s="108"/>
      <c r="E1" s="81">
        <v>36160</v>
      </c>
      <c r="F1" s="108"/>
      <c r="G1" s="81">
        <v>36052</v>
      </c>
      <c r="H1" s="108"/>
      <c r="I1" s="81">
        <v>35976</v>
      </c>
      <c r="J1" s="108"/>
      <c r="K1" s="81">
        <v>35884</v>
      </c>
      <c r="L1" s="82"/>
      <c r="M1" s="81">
        <v>36651</v>
      </c>
      <c r="N1" s="108"/>
      <c r="O1" s="81">
        <v>35795</v>
      </c>
      <c r="P1" s="80"/>
      <c r="Q1" s="81"/>
      <c r="R1" s="82"/>
      <c r="S1" s="81"/>
      <c r="T1" s="82"/>
      <c r="U1" s="81"/>
      <c r="V1" s="82"/>
      <c r="W1" s="81">
        <v>36341</v>
      </c>
      <c r="X1" s="81"/>
      <c r="Y1" s="81">
        <v>36231</v>
      </c>
      <c r="Z1" s="81"/>
      <c r="AA1" s="81">
        <v>36160</v>
      </c>
      <c r="AB1" s="83"/>
      <c r="AC1" s="81">
        <v>36052</v>
      </c>
      <c r="AD1" s="84" t="s">
        <v>3</v>
      </c>
      <c r="AE1" s="85">
        <v>35976</v>
      </c>
      <c r="AF1" s="84" t="s">
        <v>3</v>
      </c>
      <c r="AG1" s="85">
        <v>35884</v>
      </c>
      <c r="AH1" s="86" t="s">
        <v>3</v>
      </c>
      <c r="AI1" s="85">
        <v>35795</v>
      </c>
      <c r="AK1" s="87">
        <v>40.3399</v>
      </c>
    </row>
    <row r="2" spans="1:17" ht="12.75">
      <c r="A2" s="12" t="s">
        <v>42</v>
      </c>
      <c r="B2" s="30" t="str">
        <f>A2</f>
        <v>Suez Lyonnaise des Eaux</v>
      </c>
      <c r="C2" s="30" t="str">
        <f>A2</f>
        <v>Suez Lyonnaise des Eaux</v>
      </c>
      <c r="D2" s="109">
        <v>175.01</v>
      </c>
      <c r="E2" s="61">
        <v>2125</v>
      </c>
      <c r="F2" s="109">
        <v>156.87</v>
      </c>
      <c r="G2" s="61">
        <v>1894</v>
      </c>
      <c r="H2" s="109">
        <v>151.69</v>
      </c>
      <c r="I2" s="61">
        <v>1821</v>
      </c>
      <c r="J2" s="109">
        <v>135.53</v>
      </c>
      <c r="K2" s="61">
        <v>1020</v>
      </c>
      <c r="L2" s="14">
        <v>134</v>
      </c>
      <c r="M2" s="15">
        <v>5365</v>
      </c>
      <c r="N2" s="109">
        <v>101.53</v>
      </c>
      <c r="O2" s="61">
        <v>696</v>
      </c>
      <c r="P2" s="14"/>
      <c r="Q2" s="61"/>
    </row>
    <row r="3" spans="1:17" ht="12.75">
      <c r="A3" s="30" t="s">
        <v>43</v>
      </c>
      <c r="B3" s="30" t="str">
        <f>A3</f>
        <v>PetroFina</v>
      </c>
      <c r="C3" s="30" t="str">
        <f>A3</f>
        <v>PetroFina</v>
      </c>
      <c r="D3" s="109">
        <v>390.43</v>
      </c>
      <c r="E3" s="15">
        <v>1590</v>
      </c>
      <c r="F3" s="109">
        <v>319.16</v>
      </c>
      <c r="G3" s="15">
        <v>1292</v>
      </c>
      <c r="H3" s="109">
        <v>378.66</v>
      </c>
      <c r="I3" s="15">
        <v>1523</v>
      </c>
      <c r="J3" s="109">
        <v>345.81</v>
      </c>
      <c r="K3" s="15">
        <v>953</v>
      </c>
      <c r="L3" s="14">
        <v>161.5</v>
      </c>
      <c r="M3" s="15">
        <v>3177</v>
      </c>
      <c r="N3" s="109">
        <v>338.99</v>
      </c>
      <c r="O3" s="15">
        <v>869</v>
      </c>
      <c r="P3" s="14"/>
      <c r="Q3" s="15"/>
    </row>
    <row r="4" spans="1:17" ht="12.75">
      <c r="A4" s="30" t="s">
        <v>44</v>
      </c>
      <c r="B4" s="30" t="str">
        <f>A4</f>
        <v>Audiofina</v>
      </c>
      <c r="C4" s="30" t="str">
        <f>A4</f>
        <v>Audiofina</v>
      </c>
      <c r="D4" s="109">
        <v>38.42</v>
      </c>
      <c r="E4" s="18">
        <v>993</v>
      </c>
      <c r="F4" s="109">
        <v>37.13</v>
      </c>
      <c r="G4" s="18">
        <v>954</v>
      </c>
      <c r="H4" s="109">
        <v>37.68</v>
      </c>
      <c r="I4" s="18">
        <v>963</v>
      </c>
      <c r="J4" s="109">
        <v>37.43</v>
      </c>
      <c r="K4" s="18">
        <v>668</v>
      </c>
      <c r="L4" s="14">
        <v>180</v>
      </c>
      <c r="M4" s="18">
        <v>2433</v>
      </c>
      <c r="N4" s="109">
        <v>37.43</v>
      </c>
      <c r="O4" s="18">
        <v>624</v>
      </c>
      <c r="P4" s="14"/>
      <c r="Q4" s="18"/>
    </row>
    <row r="5" spans="1:17" ht="12.75">
      <c r="A5" s="30" t="s">
        <v>45</v>
      </c>
      <c r="B5" s="30" t="str">
        <f>A5</f>
        <v>Imétal</v>
      </c>
      <c r="C5" s="30" t="str">
        <f>A5</f>
        <v>Imétal</v>
      </c>
      <c r="D5" s="109">
        <v>85.37</v>
      </c>
      <c r="E5" s="15">
        <v>357</v>
      </c>
      <c r="F5" s="109">
        <v>85.83</v>
      </c>
      <c r="G5" s="15">
        <v>359</v>
      </c>
      <c r="H5" s="109">
        <v>126.69</v>
      </c>
      <c r="I5" s="15">
        <v>474</v>
      </c>
      <c r="J5" s="109">
        <v>124.7</v>
      </c>
      <c r="K5" s="15">
        <v>413</v>
      </c>
      <c r="L5" s="14">
        <v>130.9</v>
      </c>
      <c r="M5" s="15">
        <v>548</v>
      </c>
      <c r="N5" s="109">
        <v>114.03</v>
      </c>
      <c r="O5" s="15">
        <v>378</v>
      </c>
      <c r="P5" s="14"/>
      <c r="Q5" s="15"/>
    </row>
    <row r="6" spans="1:17" ht="12.75">
      <c r="A6" s="30" t="s">
        <v>46</v>
      </c>
      <c r="B6" s="30" t="str">
        <f>A6</f>
        <v>Royale Belge</v>
      </c>
      <c r="C6" s="30" t="str">
        <f>A6</f>
        <v>Royale Belge</v>
      </c>
      <c r="D6" s="109"/>
      <c r="E6" s="62" t="s">
        <v>4</v>
      </c>
      <c r="F6" s="109"/>
      <c r="G6" s="62" t="s">
        <v>4</v>
      </c>
      <c r="H6" s="109"/>
      <c r="I6" s="62" t="s">
        <v>4</v>
      </c>
      <c r="J6" s="109"/>
      <c r="K6" s="33">
        <v>676</v>
      </c>
      <c r="L6" s="14"/>
      <c r="M6" s="33"/>
      <c r="N6" s="109"/>
      <c r="O6" s="33">
        <v>541</v>
      </c>
      <c r="P6" s="14"/>
      <c r="Q6" s="33"/>
    </row>
    <row r="7" spans="1:17" ht="12.75">
      <c r="A7" s="30" t="s">
        <v>17</v>
      </c>
      <c r="B7" s="30" t="s">
        <v>18</v>
      </c>
      <c r="C7" s="30" t="s">
        <v>19</v>
      </c>
      <c r="D7" s="109"/>
      <c r="E7" s="15">
        <v>187</v>
      </c>
      <c r="F7" s="109"/>
      <c r="G7" s="15">
        <v>253</v>
      </c>
      <c r="H7" s="109"/>
      <c r="I7" s="15">
        <v>329</v>
      </c>
      <c r="J7" s="109"/>
      <c r="K7" s="15">
        <v>389</v>
      </c>
      <c r="L7" s="34"/>
      <c r="M7" s="15">
        <v>245</v>
      </c>
      <c r="N7" s="109"/>
      <c r="O7" s="15">
        <v>570</v>
      </c>
      <c r="P7" s="14"/>
      <c r="Q7" s="15"/>
    </row>
    <row r="8" spans="1:17" ht="12.75">
      <c r="A8" s="38" t="s">
        <v>47</v>
      </c>
      <c r="B8" s="38" t="s">
        <v>48</v>
      </c>
      <c r="C8" s="38" t="s">
        <v>49</v>
      </c>
      <c r="D8" s="109"/>
      <c r="E8" s="40">
        <v>603</v>
      </c>
      <c r="F8" s="109"/>
      <c r="G8" s="40">
        <v>559</v>
      </c>
      <c r="H8" s="109"/>
      <c r="I8" s="40">
        <v>721</v>
      </c>
      <c r="J8" s="109"/>
      <c r="K8" s="40">
        <v>1215</v>
      </c>
      <c r="L8" s="39"/>
      <c r="M8" s="40">
        <v>-322</v>
      </c>
      <c r="N8" s="109"/>
      <c r="O8" s="40">
        <v>921</v>
      </c>
      <c r="P8" s="14"/>
      <c r="Q8" s="40"/>
    </row>
    <row r="9" spans="1:30" s="102" customFormat="1" ht="12.75">
      <c r="A9" s="113" t="s">
        <v>50</v>
      </c>
      <c r="B9" s="114" t="s">
        <v>51</v>
      </c>
      <c r="C9" s="114" t="s">
        <v>27</v>
      </c>
      <c r="D9" s="115"/>
      <c r="E9" s="116">
        <f>SUM(E2:E8)</f>
        <v>5855</v>
      </c>
      <c r="F9" s="115"/>
      <c r="G9" s="116">
        <f>SUM(G2:G8)</f>
        <v>5311</v>
      </c>
      <c r="H9" s="117"/>
      <c r="I9" s="116">
        <f>SUM(I2:I8)</f>
        <v>5831</v>
      </c>
      <c r="J9" s="117"/>
      <c r="K9" s="116">
        <f>SUM(K2:K8)</f>
        <v>5334</v>
      </c>
      <c r="L9" s="116"/>
      <c r="M9" s="116"/>
      <c r="N9" s="117"/>
      <c r="O9" s="116">
        <f>SUM(O2:O8)</f>
        <v>4599</v>
      </c>
      <c r="P9" s="100"/>
      <c r="Q9" s="99"/>
      <c r="R9" s="101"/>
      <c r="T9" s="101"/>
      <c r="V9" s="101"/>
      <c r="X9" s="101"/>
      <c r="Z9" s="103"/>
      <c r="AB9" s="103"/>
      <c r="AD9" s="104"/>
    </row>
    <row r="10" spans="1:17" ht="12.75">
      <c r="A10" s="118" t="s">
        <v>52</v>
      </c>
      <c r="B10" s="118" t="s">
        <v>53</v>
      </c>
      <c r="C10" s="118" t="s">
        <v>54</v>
      </c>
      <c r="D10" s="119"/>
      <c r="E10" s="47">
        <v>47.93</v>
      </c>
      <c r="F10" s="119"/>
      <c r="G10" s="47">
        <v>43.49</v>
      </c>
      <c r="H10" s="119"/>
      <c r="I10" s="47">
        <v>47.79</v>
      </c>
      <c r="J10" s="119"/>
      <c r="K10" s="47">
        <v>41.38</v>
      </c>
      <c r="L10" s="120"/>
      <c r="M10" s="47">
        <v>476.02</v>
      </c>
      <c r="N10" s="119"/>
      <c r="O10" s="47">
        <v>35.67</v>
      </c>
      <c r="P10" s="45"/>
      <c r="Q10" s="36"/>
    </row>
    <row r="11" spans="1:17" ht="12.75">
      <c r="A11" s="118" t="s">
        <v>55</v>
      </c>
      <c r="B11" s="118" t="s">
        <v>56</v>
      </c>
      <c r="C11" s="118" t="s">
        <v>57</v>
      </c>
      <c r="D11" s="119"/>
      <c r="E11" s="121">
        <v>34.71</v>
      </c>
      <c r="F11" s="119"/>
      <c r="G11" s="121">
        <v>32.13</v>
      </c>
      <c r="H11" s="119"/>
      <c r="I11" s="121">
        <v>37.23</v>
      </c>
      <c r="J11" s="119"/>
      <c r="K11" s="121">
        <v>32.13</v>
      </c>
      <c r="L11" s="120"/>
      <c r="M11" s="121">
        <v>267.5</v>
      </c>
      <c r="N11" s="119"/>
      <c r="O11" s="121">
        <v>26.57</v>
      </c>
      <c r="P11" s="45"/>
      <c r="Q11" s="48"/>
    </row>
    <row r="12" spans="1:17" ht="12.75">
      <c r="A12" s="122" t="s">
        <v>34</v>
      </c>
      <c r="B12" s="122" t="s">
        <v>35</v>
      </c>
      <c r="C12" s="122" t="s">
        <v>36</v>
      </c>
      <c r="D12" s="123"/>
      <c r="E12" s="124">
        <v>0.276</v>
      </c>
      <c r="F12" s="123"/>
      <c r="G12" s="124">
        <v>0.26</v>
      </c>
      <c r="H12" s="123"/>
      <c r="I12" s="124">
        <v>0.221</v>
      </c>
      <c r="J12" s="123"/>
      <c r="K12" s="124">
        <v>0.224</v>
      </c>
      <c r="L12" s="125"/>
      <c r="M12" s="124">
        <v>0.438</v>
      </c>
      <c r="N12" s="123"/>
      <c r="O12" s="124">
        <v>0.255</v>
      </c>
      <c r="P12" s="14"/>
      <c r="Q12" s="51"/>
    </row>
    <row r="13" spans="1:17" ht="12.75">
      <c r="A13" s="126" t="s">
        <v>58</v>
      </c>
      <c r="B13" s="126" t="s">
        <v>59</v>
      </c>
      <c r="C13" s="126" t="s">
        <v>60</v>
      </c>
      <c r="D13" s="123"/>
      <c r="E13" s="43">
        <v>122160125</v>
      </c>
      <c r="F13" s="123"/>
      <c r="G13" s="43">
        <v>122160125</v>
      </c>
      <c r="H13" s="123"/>
      <c r="I13" s="43">
        <v>122160125</v>
      </c>
      <c r="J13" s="123"/>
      <c r="K13" s="43">
        <v>128917890</v>
      </c>
      <c r="L13" s="127"/>
      <c r="M13" s="43">
        <v>24432025</v>
      </c>
      <c r="N13" s="123"/>
      <c r="O13" s="43">
        <v>128917890</v>
      </c>
      <c r="P13" s="14"/>
      <c r="Q13" s="18"/>
    </row>
    <row r="15" spans="1:33" s="19" customFormat="1" ht="38.25">
      <c r="A15" s="96" t="s">
        <v>61</v>
      </c>
      <c r="B15" s="57" t="s">
        <v>73</v>
      </c>
      <c r="C15" s="58" t="s">
        <v>72</v>
      </c>
      <c r="D15" s="111"/>
      <c r="E15" s="59"/>
      <c r="F15" s="111"/>
      <c r="G15" s="59"/>
      <c r="H15" s="111"/>
      <c r="I15" s="59"/>
      <c r="J15" s="111"/>
      <c r="K15" s="60"/>
      <c r="L15" s="57"/>
      <c r="M15" s="59"/>
      <c r="N15" s="111"/>
      <c r="O15" s="59"/>
      <c r="P15" s="57"/>
      <c r="Q15" s="60"/>
      <c r="R15" s="57"/>
      <c r="S15" s="60"/>
      <c r="T15" s="57"/>
      <c r="W15" s="36"/>
      <c r="X15" s="30"/>
      <c r="Y15" s="36"/>
      <c r="Z15" s="33"/>
      <c r="AA15" s="33"/>
      <c r="AB15" s="33"/>
      <c r="AC15" s="33"/>
      <c r="AD15" s="33"/>
      <c r="AE15" s="33"/>
      <c r="AF15" s="33"/>
      <c r="AG15" s="30"/>
    </row>
    <row r="16" spans="4:30" ht="12.75">
      <c r="D16" s="112"/>
      <c r="L16" s="16"/>
      <c r="N16" s="112"/>
      <c r="R16" s="16"/>
      <c r="X16" s="55"/>
      <c r="AB16" s="56"/>
      <c r="AD16"/>
    </row>
  </sheetData>
  <sheetProtection/>
  <printOptions/>
  <pageMargins left="0.787401575" right="0.787401575" top="0.984251969" bottom="0.984251969" header="0.5" footer="0.5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13"/>
  <sheetViews>
    <sheetView showGridLines="0" zoomScalePageLayoutView="0" workbookViewId="0" topLeftCell="A1">
      <selection activeCell="A41" sqref="A41"/>
    </sheetView>
  </sheetViews>
  <sheetFormatPr defaultColWidth="11.421875" defaultRowHeight="12.75"/>
  <cols>
    <col min="1" max="1" width="28.140625" style="0" bestFit="1" customWidth="1"/>
    <col min="2" max="2" width="32.421875" style="0" customWidth="1"/>
    <col min="3" max="3" width="20.7109375" style="0" customWidth="1"/>
    <col min="4" max="4" width="11.57421875" style="191" customWidth="1"/>
    <col min="5" max="5" width="12.421875" style="203" customWidth="1"/>
    <col min="6" max="6" width="10.7109375" style="191" customWidth="1"/>
    <col min="7" max="7" width="11.421875" style="203" customWidth="1"/>
    <col min="8" max="8" width="11.421875" style="191" customWidth="1"/>
    <col min="9" max="9" width="12.7109375" style="203" customWidth="1"/>
    <col min="10" max="10" width="11.421875" style="191" customWidth="1"/>
    <col min="11" max="11" width="12.421875" style="203" customWidth="1"/>
    <col min="12" max="12" width="11.421875" style="191" customWidth="1"/>
    <col min="13" max="13" width="13.00390625" style="203" customWidth="1"/>
    <col min="14" max="14" width="11.421875" style="191" customWidth="1"/>
    <col min="15" max="15" width="12.421875" style="203" customWidth="1"/>
    <col min="16" max="16" width="11.421875" style="54" customWidth="1"/>
    <col min="17" max="17" width="12.28125" style="0" customWidth="1"/>
    <col min="18" max="18" width="11.421875" style="54" customWidth="1"/>
    <col min="19" max="19" width="11.421875" style="0" customWidth="1"/>
    <col min="20" max="20" width="9.140625" style="54" hidden="1" customWidth="1"/>
    <col min="21" max="21" width="9.140625" style="0" hidden="1" customWidth="1"/>
    <col min="22" max="22" width="9.140625" style="54" hidden="1" customWidth="1"/>
    <col min="23" max="23" width="9.140625" style="0" hidden="1" customWidth="1"/>
    <col min="24" max="24" width="11.57421875" style="55" hidden="1" customWidth="1"/>
    <col min="25" max="25" width="9.140625" style="0" hidden="1" customWidth="1"/>
    <col min="26" max="26" width="9.140625" style="55" hidden="1" customWidth="1"/>
    <col min="27" max="27" width="9.140625" style="0" hidden="1" customWidth="1"/>
    <col min="28" max="28" width="11.57421875" style="56" hidden="1" customWidth="1"/>
    <col min="29" max="31" width="9.140625" style="0" hidden="1" customWidth="1"/>
    <col min="32" max="35" width="11.421875" style="0" hidden="1" customWidth="1"/>
    <col min="36" max="36" width="11.421875" style="0" customWidth="1"/>
    <col min="37" max="38" width="9.140625" style="0" hidden="1" customWidth="1"/>
  </cols>
  <sheetData>
    <row r="1" spans="1:38" s="87" customFormat="1" ht="12.75">
      <c r="A1" s="79" t="s">
        <v>0</v>
      </c>
      <c r="B1" s="79" t="s">
        <v>1</v>
      </c>
      <c r="C1" s="79" t="s">
        <v>2</v>
      </c>
      <c r="D1" s="144"/>
      <c r="E1" s="192">
        <v>39447</v>
      </c>
      <c r="F1" s="144"/>
      <c r="G1" s="192">
        <v>39391</v>
      </c>
      <c r="H1" s="144"/>
      <c r="I1" s="192">
        <v>39293</v>
      </c>
      <c r="J1" s="144"/>
      <c r="K1" s="192">
        <v>39204</v>
      </c>
      <c r="L1" s="144"/>
      <c r="M1" s="192">
        <v>39146</v>
      </c>
      <c r="N1" s="144"/>
      <c r="O1" s="192">
        <v>39082</v>
      </c>
      <c r="P1" s="79"/>
      <c r="Q1" s="79"/>
      <c r="R1" s="82"/>
      <c r="S1" s="81"/>
      <c r="T1" s="82"/>
      <c r="U1" s="81">
        <v>36420</v>
      </c>
      <c r="V1" s="82"/>
      <c r="W1" s="81">
        <v>36341</v>
      </c>
      <c r="X1" s="81"/>
      <c r="Y1" s="81">
        <v>36231</v>
      </c>
      <c r="Z1" s="81"/>
      <c r="AA1" s="81">
        <v>36160</v>
      </c>
      <c r="AB1" s="83"/>
      <c r="AC1" s="81">
        <v>36052</v>
      </c>
      <c r="AD1" s="84" t="s">
        <v>3</v>
      </c>
      <c r="AE1" s="85">
        <v>35976</v>
      </c>
      <c r="AF1" s="84" t="s">
        <v>3</v>
      </c>
      <c r="AG1" s="85">
        <v>35884</v>
      </c>
      <c r="AH1" s="86" t="s">
        <v>3</v>
      </c>
      <c r="AI1" s="85">
        <v>35795</v>
      </c>
      <c r="AK1" s="87">
        <v>40.3399</v>
      </c>
      <c r="AL1" s="87">
        <v>6.55957</v>
      </c>
    </row>
    <row r="2" spans="1:35" s="11" customFormat="1" ht="12.75">
      <c r="A2" s="1" t="s">
        <v>92</v>
      </c>
      <c r="B2" s="1" t="str">
        <f>A2</f>
        <v>Iberdrola</v>
      </c>
      <c r="C2" s="1" t="str">
        <f>A2</f>
        <v>Iberdrola</v>
      </c>
      <c r="D2" s="149">
        <v>10.4</v>
      </c>
      <c r="E2" s="193">
        <v>724</v>
      </c>
      <c r="F2" s="149">
        <v>11.36</v>
      </c>
      <c r="G2" s="193">
        <v>1704</v>
      </c>
      <c r="H2" s="149">
        <v>40.23</v>
      </c>
      <c r="I2" s="193">
        <v>1509</v>
      </c>
      <c r="J2" s="149" t="s">
        <v>4</v>
      </c>
      <c r="K2" s="193">
        <v>0</v>
      </c>
      <c r="L2" s="149" t="s">
        <v>4</v>
      </c>
      <c r="M2" s="193"/>
      <c r="N2" s="149" t="s">
        <v>4</v>
      </c>
      <c r="O2" s="193">
        <v>0</v>
      </c>
      <c r="P2" s="5"/>
      <c r="Q2" s="6"/>
      <c r="R2" s="5"/>
      <c r="S2" s="6"/>
      <c r="T2" s="5"/>
      <c r="U2" s="6"/>
      <c r="V2" s="5"/>
      <c r="W2" s="6"/>
      <c r="X2" s="6"/>
      <c r="Y2" s="6"/>
      <c r="Z2" s="6"/>
      <c r="AA2" s="6"/>
      <c r="AB2" s="7"/>
      <c r="AC2" s="6"/>
      <c r="AD2" s="8"/>
      <c r="AE2" s="9"/>
      <c r="AF2" s="8"/>
      <c r="AG2" s="9"/>
      <c r="AH2" s="10"/>
      <c r="AI2" s="9"/>
    </row>
    <row r="3" spans="1:36" s="19" customFormat="1" ht="12.75">
      <c r="A3" s="1" t="s">
        <v>86</v>
      </c>
      <c r="B3" s="1" t="s">
        <v>86</v>
      </c>
      <c r="C3" s="1" t="s">
        <v>86</v>
      </c>
      <c r="D3" s="149">
        <v>79.05</v>
      </c>
      <c r="E3" s="194">
        <v>1070</v>
      </c>
      <c r="F3" s="149">
        <v>155.09</v>
      </c>
      <c r="G3" s="194">
        <v>1049</v>
      </c>
      <c r="H3" s="149">
        <v>153.13</v>
      </c>
      <c r="I3" s="194">
        <v>1036</v>
      </c>
      <c r="J3" s="149">
        <v>158</v>
      </c>
      <c r="K3" s="194">
        <v>960</v>
      </c>
      <c r="L3" s="149">
        <v>154.1</v>
      </c>
      <c r="M3" s="194">
        <v>852</v>
      </c>
      <c r="N3" s="149">
        <v>145</v>
      </c>
      <c r="O3" s="194">
        <v>446</v>
      </c>
      <c r="P3" s="14"/>
      <c r="Q3" s="15"/>
      <c r="R3" s="14"/>
      <c r="S3" s="15"/>
      <c r="T3" s="14">
        <v>48.35</v>
      </c>
      <c r="U3" s="15">
        <v>1302</v>
      </c>
      <c r="V3" s="14">
        <v>46.55</v>
      </c>
      <c r="W3" s="15">
        <v>1242</v>
      </c>
      <c r="X3" s="16">
        <v>37.45</v>
      </c>
      <c r="Y3" s="15">
        <v>991</v>
      </c>
      <c r="Z3" s="17">
        <f>1550/AK1</f>
        <v>38.42349633985211</v>
      </c>
      <c r="AA3" s="18">
        <f>40072/AK1</f>
        <v>993.3589324713249</v>
      </c>
      <c r="AB3" s="17">
        <f>1498/AK1</f>
        <v>37.13445001103126</v>
      </c>
      <c r="AC3" s="18">
        <f>38499/AK1</f>
        <v>954.3652810244944</v>
      </c>
      <c r="AD3" s="17">
        <f>1520/AK1</f>
        <v>37.67981576553239</v>
      </c>
      <c r="AE3" s="18">
        <f>38837/AK1</f>
        <v>962.7440821618299</v>
      </c>
      <c r="AF3" s="17">
        <f>1510/AK1</f>
        <v>37.43192224075915</v>
      </c>
      <c r="AG3" s="18">
        <f>26966/AK1</f>
        <v>668.4696789035173</v>
      </c>
      <c r="AH3" s="4">
        <f>1510/AK1</f>
        <v>37.43192224075915</v>
      </c>
      <c r="AI3" s="18">
        <f>25184/AK1</f>
        <v>624.2950527889261</v>
      </c>
      <c r="AJ3" s="12" t="s">
        <v>6</v>
      </c>
    </row>
    <row r="4" spans="1:36" s="19" customFormat="1" ht="12.75">
      <c r="A4" s="30" t="s">
        <v>83</v>
      </c>
      <c r="B4" s="1" t="str">
        <f>A4</f>
        <v>Total</v>
      </c>
      <c r="C4" s="30" t="str">
        <f>A4</f>
        <v>Total</v>
      </c>
      <c r="D4" s="155">
        <v>56.83</v>
      </c>
      <c r="E4" s="196">
        <v>5339</v>
      </c>
      <c r="F4" s="155">
        <v>54.37</v>
      </c>
      <c r="G4" s="196">
        <v>5108</v>
      </c>
      <c r="H4" s="155">
        <v>57.2</v>
      </c>
      <c r="I4" s="196">
        <v>5373</v>
      </c>
      <c r="J4" s="155">
        <v>55</v>
      </c>
      <c r="K4" s="196">
        <v>5167</v>
      </c>
      <c r="L4" s="155">
        <v>49.29</v>
      </c>
      <c r="M4" s="196">
        <v>4630</v>
      </c>
      <c r="N4" s="155">
        <v>54.65</v>
      </c>
      <c r="O4" s="196">
        <v>5134</v>
      </c>
      <c r="P4" s="14"/>
      <c r="Q4" s="15"/>
      <c r="R4" s="14"/>
      <c r="S4" s="15"/>
      <c r="T4" s="14">
        <v>120.9</v>
      </c>
      <c r="U4" s="15">
        <v>2351</v>
      </c>
      <c r="V4" s="14">
        <v>125.1</v>
      </c>
      <c r="W4" s="15">
        <v>2399</v>
      </c>
      <c r="X4" s="32">
        <f>460.3/4.5</f>
        <v>102.28888888888889</v>
      </c>
      <c r="Y4" s="15">
        <v>1921</v>
      </c>
      <c r="Z4" s="17">
        <v>86.76</v>
      </c>
      <c r="AA4" s="18">
        <v>1590</v>
      </c>
      <c r="AB4" s="17" t="e">
        <f>12875/(#REF!*4.5)</f>
        <v>#REF!</v>
      </c>
      <c r="AC4" s="18" t="e">
        <f>52109/#REF!</f>
        <v>#REF!</v>
      </c>
      <c r="AD4" s="17" t="e">
        <f>15275/(#REF!*4.5)</f>
        <v>#REF!</v>
      </c>
      <c r="AE4" s="18" t="e">
        <f>61445/#REF!</f>
        <v>#REF!</v>
      </c>
      <c r="AF4" s="17" t="e">
        <f>13950/#REF!</f>
        <v>#REF!</v>
      </c>
      <c r="AG4" s="18" t="e">
        <f>38455/#REF!</f>
        <v>#REF!</v>
      </c>
      <c r="AH4" s="4" t="e">
        <f>13675/#REF!</f>
        <v>#REF!</v>
      </c>
      <c r="AI4" s="18" t="e">
        <f>35072/#REF!</f>
        <v>#REF!</v>
      </c>
      <c r="AJ4" s="30" t="s">
        <v>6</v>
      </c>
    </row>
    <row r="5" spans="1:36" s="19" customFormat="1" ht="12.75">
      <c r="A5" s="30" t="s">
        <v>87</v>
      </c>
      <c r="B5" s="1" t="str">
        <f>A5</f>
        <v>Suez</v>
      </c>
      <c r="C5" s="30" t="str">
        <f>A5</f>
        <v>Suez</v>
      </c>
      <c r="D5" s="155">
        <v>46.57</v>
      </c>
      <c r="E5" s="196">
        <v>5682</v>
      </c>
      <c r="F5" s="155">
        <v>45.9</v>
      </c>
      <c r="G5" s="196">
        <v>5600</v>
      </c>
      <c r="H5" s="155">
        <v>38.11</v>
      </c>
      <c r="I5" s="196">
        <v>4650</v>
      </c>
      <c r="J5" s="155">
        <v>42.82</v>
      </c>
      <c r="K5" s="196">
        <v>5225</v>
      </c>
      <c r="L5" s="155">
        <v>35.58</v>
      </c>
      <c r="M5" s="196">
        <v>4341</v>
      </c>
      <c r="N5" s="155">
        <v>39.23</v>
      </c>
      <c r="O5" s="196">
        <v>3990</v>
      </c>
      <c r="P5" s="14"/>
      <c r="Q5" s="18"/>
      <c r="R5" s="14"/>
      <c r="S5" s="18"/>
      <c r="T5" s="14">
        <v>159.9</v>
      </c>
      <c r="U5" s="18">
        <v>2134</v>
      </c>
      <c r="V5" s="14">
        <v>174.9</v>
      </c>
      <c r="W5" s="18">
        <v>2278</v>
      </c>
      <c r="X5" s="17">
        <v>173.2</v>
      </c>
      <c r="Y5" s="18">
        <v>2197</v>
      </c>
      <c r="Z5" s="17">
        <f>1148/AL1</f>
        <v>175.0114717885471</v>
      </c>
      <c r="AA5" s="18">
        <f>85728/AK1</f>
        <v>2125.1416091760266</v>
      </c>
      <c r="AB5" s="17">
        <f>1029/AL1</f>
        <v>156.8700387372953</v>
      </c>
      <c r="AC5" s="18">
        <f>76396/AK1</f>
        <v>1893.8073718576397</v>
      </c>
      <c r="AD5" s="17">
        <f>995/AL1</f>
        <v>151.68677215122332</v>
      </c>
      <c r="AE5" s="18">
        <f>73440/AK1</f>
        <v>1820.5300459346702</v>
      </c>
      <c r="AF5" s="17">
        <f>889/AL1</f>
        <v>135.52717632405782</v>
      </c>
      <c r="AG5" s="18">
        <f>41140/AK1</f>
        <v>1019.8339609171069</v>
      </c>
      <c r="AH5" s="4">
        <f>666/AL1</f>
        <v>101.53104548011531</v>
      </c>
      <c r="AI5" s="18">
        <f>28071/AK1</f>
        <v>695.8619133909604</v>
      </c>
      <c r="AJ5" s="30" t="s">
        <v>6</v>
      </c>
    </row>
    <row r="6" spans="1:36" s="19" customFormat="1" ht="12.75">
      <c r="A6" s="30" t="s">
        <v>88</v>
      </c>
      <c r="B6" s="1" t="str">
        <f>A6</f>
        <v>Imerys </v>
      </c>
      <c r="C6" s="30" t="str">
        <f>A6</f>
        <v>Imerys </v>
      </c>
      <c r="D6" s="155">
        <v>56.24</v>
      </c>
      <c r="E6" s="196">
        <v>950</v>
      </c>
      <c r="F6" s="155">
        <v>64.63</v>
      </c>
      <c r="G6" s="196">
        <v>1082</v>
      </c>
      <c r="H6" s="155">
        <v>71.82</v>
      </c>
      <c r="I6" s="196">
        <v>1203</v>
      </c>
      <c r="J6" s="155">
        <v>72</v>
      </c>
      <c r="K6" s="196">
        <v>1206</v>
      </c>
      <c r="L6" s="155">
        <v>68.23</v>
      </c>
      <c r="M6" s="196">
        <v>1143</v>
      </c>
      <c r="N6" s="155">
        <v>67.4</v>
      </c>
      <c r="O6" s="196">
        <v>1129</v>
      </c>
      <c r="P6" s="14"/>
      <c r="Q6" s="15"/>
      <c r="R6" s="14"/>
      <c r="S6" s="15"/>
      <c r="T6" s="14">
        <v>149.1</v>
      </c>
      <c r="U6" s="15">
        <v>624</v>
      </c>
      <c r="V6" s="14">
        <v>144</v>
      </c>
      <c r="W6" s="15">
        <v>603</v>
      </c>
      <c r="X6" s="16">
        <v>99.6</v>
      </c>
      <c r="Y6" s="15">
        <v>417</v>
      </c>
      <c r="Z6" s="17">
        <f>560/AL1</f>
        <v>85.37144965294982</v>
      </c>
      <c r="AA6" s="18">
        <f>14416/AK1</f>
        <v>357.36330531310193</v>
      </c>
      <c r="AB6" s="17">
        <f>563/AL1</f>
        <v>85.82879670466204</v>
      </c>
      <c r="AC6" s="18">
        <f>14484/AK1</f>
        <v>359.0489812815599</v>
      </c>
      <c r="AD6" s="17">
        <f>831/AL1</f>
        <v>126.68513332428803</v>
      </c>
      <c r="AE6" s="18">
        <f>19136/AK1</f>
        <v>474.3690490060709</v>
      </c>
      <c r="AF6" s="17">
        <f>818/AL1</f>
        <v>124.7032961002017</v>
      </c>
      <c r="AG6" s="18">
        <f>16662/AK1</f>
        <v>413.0401909771715</v>
      </c>
      <c r="AH6" s="4">
        <f>748/AL1</f>
        <v>114.03186489358296</v>
      </c>
      <c r="AI6" s="18">
        <f>15243/AK1</f>
        <v>377.8640998118488</v>
      </c>
      <c r="AJ6" s="30" t="s">
        <v>6</v>
      </c>
    </row>
    <row r="7" spans="1:36" s="19" customFormat="1" ht="12.75">
      <c r="A7" s="12" t="s">
        <v>85</v>
      </c>
      <c r="B7" s="1" t="str">
        <f>A7</f>
        <v>Lafarge</v>
      </c>
      <c r="C7" s="30" t="str">
        <f>A7</f>
        <v>Lafarge</v>
      </c>
      <c r="D7" s="155">
        <v>124.5</v>
      </c>
      <c r="E7" s="195">
        <v>3856</v>
      </c>
      <c r="F7" s="155">
        <v>108.28</v>
      </c>
      <c r="G7" s="195">
        <v>3291</v>
      </c>
      <c r="H7" s="155">
        <v>121.76</v>
      </c>
      <c r="I7" s="195">
        <v>3741</v>
      </c>
      <c r="J7" s="155">
        <v>121.51</v>
      </c>
      <c r="K7" s="195">
        <v>3691</v>
      </c>
      <c r="L7" s="155">
        <v>109.52</v>
      </c>
      <c r="M7" s="195">
        <v>3114</v>
      </c>
      <c r="N7" s="155">
        <v>112.7</v>
      </c>
      <c r="O7" s="195">
        <v>3170</v>
      </c>
      <c r="P7" s="14"/>
      <c r="Q7" s="33"/>
      <c r="R7" s="14"/>
      <c r="S7" s="33"/>
      <c r="T7" s="33"/>
      <c r="U7" s="33" t="s">
        <v>16</v>
      </c>
      <c r="V7" s="34"/>
      <c r="W7" s="33" t="s">
        <v>16</v>
      </c>
      <c r="X7" s="35"/>
      <c r="Y7" s="33" t="s">
        <v>16</v>
      </c>
      <c r="Z7" s="36"/>
      <c r="AA7" s="33" t="s">
        <v>16</v>
      </c>
      <c r="AB7" s="36"/>
      <c r="AC7" s="33"/>
      <c r="AD7" s="36"/>
      <c r="AE7" s="33"/>
      <c r="AF7" s="36"/>
      <c r="AG7" s="18"/>
      <c r="AH7" s="37"/>
      <c r="AI7" s="18"/>
      <c r="AJ7" s="30"/>
    </row>
    <row r="8" spans="1:36" s="19" customFormat="1" ht="12.75">
      <c r="A8" s="30" t="s">
        <v>17</v>
      </c>
      <c r="B8" s="30" t="s">
        <v>18</v>
      </c>
      <c r="C8" s="30" t="s">
        <v>19</v>
      </c>
      <c r="D8" s="155"/>
      <c r="E8" s="196">
        <v>322</v>
      </c>
      <c r="F8" s="155"/>
      <c r="G8" s="196">
        <v>325</v>
      </c>
      <c r="H8" s="155"/>
      <c r="I8" s="196">
        <v>344</v>
      </c>
      <c r="J8" s="155"/>
      <c r="K8" s="196">
        <v>354</v>
      </c>
      <c r="L8" s="155"/>
      <c r="M8" s="196">
        <v>294</v>
      </c>
      <c r="N8" s="155"/>
      <c r="O8" s="196">
        <v>258</v>
      </c>
      <c r="P8" s="34"/>
      <c r="Q8" s="15"/>
      <c r="R8" s="34"/>
      <c r="S8" s="15"/>
      <c r="T8" s="34"/>
      <c r="U8" s="15">
        <v>266</v>
      </c>
      <c r="V8" s="34"/>
      <c r="W8" s="15">
        <v>257</v>
      </c>
      <c r="X8" s="35"/>
      <c r="Y8" s="15">
        <f>25+190</f>
        <v>215</v>
      </c>
      <c r="Z8" s="36" t="s">
        <v>3</v>
      </c>
      <c r="AA8" s="18">
        <f>7517/AK1+1</f>
        <v>187.34156257204407</v>
      </c>
      <c r="AB8" s="36" t="s">
        <v>3</v>
      </c>
      <c r="AC8" s="18">
        <f>10221/AK1</f>
        <v>253.371971670728</v>
      </c>
      <c r="AD8" s="36" t="s">
        <v>6</v>
      </c>
      <c r="AE8" s="18">
        <f>13264/AK1</f>
        <v>328.80597125922475</v>
      </c>
      <c r="AF8" s="36" t="s">
        <v>6</v>
      </c>
      <c r="AG8" s="18">
        <f>15670/AK1+1</f>
        <v>389.44915331966615</v>
      </c>
      <c r="AH8" s="37" t="s">
        <v>6</v>
      </c>
      <c r="AI8" s="18">
        <f>22978/AK1</f>
        <v>569.6097412239495</v>
      </c>
      <c r="AJ8" s="30" t="s">
        <v>6</v>
      </c>
    </row>
    <row r="9" spans="1:36" s="40" customFormat="1" ht="25.5">
      <c r="A9" s="38" t="s">
        <v>89</v>
      </c>
      <c r="B9" s="38" t="s">
        <v>90</v>
      </c>
      <c r="C9" s="38" t="s">
        <v>91</v>
      </c>
      <c r="D9" s="155"/>
      <c r="E9" s="196">
        <v>1803</v>
      </c>
      <c r="F9" s="155"/>
      <c r="G9" s="196">
        <v>844</v>
      </c>
      <c r="H9" s="155"/>
      <c r="I9" s="196">
        <v>786</v>
      </c>
      <c r="J9" s="155"/>
      <c r="K9" s="196">
        <v>820</v>
      </c>
      <c r="L9" s="155"/>
      <c r="M9" s="196">
        <v>1391</v>
      </c>
      <c r="N9" s="155"/>
      <c r="O9" s="196">
        <v>2636</v>
      </c>
      <c r="P9" s="39"/>
      <c r="R9" s="39"/>
      <c r="T9" s="39"/>
      <c r="U9" s="40">
        <v>392</v>
      </c>
      <c r="V9" s="39"/>
      <c r="W9" s="40">
        <v>414</v>
      </c>
      <c r="X9" s="41"/>
      <c r="Y9" s="40">
        <v>527</v>
      </c>
      <c r="Z9" s="42" t="s">
        <v>3</v>
      </c>
      <c r="AA9" s="42">
        <f>24308/AK1</f>
        <v>602.5795800187904</v>
      </c>
      <c r="AB9" s="42" t="s">
        <v>3</v>
      </c>
      <c r="AC9" s="42">
        <f>22554/AK1</f>
        <v>559.0990557735641</v>
      </c>
      <c r="AD9" s="42" t="s">
        <v>6</v>
      </c>
      <c r="AE9" s="42">
        <f>29104/AK1</f>
        <v>721.4693145000359</v>
      </c>
      <c r="AF9" s="42" t="s">
        <v>6</v>
      </c>
      <c r="AG9" s="42">
        <f>48989/AK1+1</f>
        <v>1215.4055885116225</v>
      </c>
      <c r="AH9" s="38" t="s">
        <v>6</v>
      </c>
      <c r="AI9" s="42">
        <f>37124/AK1+1</f>
        <v>921.279921368174</v>
      </c>
      <c r="AJ9" s="38" t="s">
        <v>6</v>
      </c>
    </row>
    <row r="10" spans="1:38" s="237" customFormat="1" ht="12.75">
      <c r="A10" s="113" t="s">
        <v>25</v>
      </c>
      <c r="B10" s="113" t="s">
        <v>26</v>
      </c>
      <c r="C10" s="113" t="s">
        <v>27</v>
      </c>
      <c r="D10" s="228"/>
      <c r="E10" s="231">
        <f>SUM(E2:E9)</f>
        <v>19746</v>
      </c>
      <c r="F10" s="228"/>
      <c r="G10" s="231">
        <f>SUM(G2:G9)</f>
        <v>19003</v>
      </c>
      <c r="H10" s="228"/>
      <c r="I10" s="231">
        <f>SUM(I2:I9)</f>
        <v>18642</v>
      </c>
      <c r="J10" s="228"/>
      <c r="K10" s="231">
        <f>SUM(K2:K9)</f>
        <v>17423</v>
      </c>
      <c r="L10" s="228"/>
      <c r="M10" s="231">
        <f>SUM(M2:M9)</f>
        <v>15765</v>
      </c>
      <c r="N10" s="228"/>
      <c r="O10" s="231">
        <f>SUM(O2:O9)</f>
        <v>16763</v>
      </c>
      <c r="P10" s="233"/>
      <c r="Q10" s="116"/>
      <c r="R10" s="233"/>
      <c r="S10" s="116"/>
      <c r="T10" s="233"/>
      <c r="U10" s="116" t="e">
        <f>SUM(U3:U5:#REF!)-#REF!-#REF!</f>
        <v>#REF!</v>
      </c>
      <c r="V10" s="233"/>
      <c r="W10" s="116" t="e">
        <f>SUM(W3:W5:#REF!)-#REF!-#REF!</f>
        <v>#REF!</v>
      </c>
      <c r="X10" s="234"/>
      <c r="Y10" s="116" t="e">
        <f>SUM(Y3:Y5:#REF!)-#REF!-#REF!</f>
        <v>#REF!</v>
      </c>
      <c r="Z10" s="235" t="s">
        <v>3</v>
      </c>
      <c r="AA10" s="116" t="e">
        <f>SUM(AA3:AA5:#REF!)-#REF!-#REF!-1</f>
        <v>#REF!</v>
      </c>
      <c r="AB10" s="235" t="s">
        <v>3</v>
      </c>
      <c r="AC10" s="116">
        <f>SUM(AC5:AC9)</f>
        <v>3065.3273805834915</v>
      </c>
      <c r="AD10" s="235" t="s">
        <v>6</v>
      </c>
      <c r="AE10" s="116">
        <f>SUM(AE5:AE9)</f>
        <v>3345.174380700002</v>
      </c>
      <c r="AF10" s="235" t="s">
        <v>6</v>
      </c>
      <c r="AG10" s="116">
        <f>SUM(AG5:AG9)-2</f>
        <v>3035.728893725567</v>
      </c>
      <c r="AH10" s="236" t="s">
        <v>6</v>
      </c>
      <c r="AI10" s="116">
        <f>SUM(AI5:AI9)-1</f>
        <v>2563.615675794933</v>
      </c>
      <c r="AJ10" s="113" t="s">
        <v>6</v>
      </c>
      <c r="AK10" s="237">
        <f>236182/AK1</f>
        <v>5854.798846799323</v>
      </c>
      <c r="AL10" s="237">
        <f>214263/AK1</f>
        <v>5311.441029848859</v>
      </c>
    </row>
    <row r="11" spans="1:36" s="121" customFormat="1" ht="25.5">
      <c r="A11" s="118" t="s">
        <v>28</v>
      </c>
      <c r="B11" s="118" t="s">
        <v>29</v>
      </c>
      <c r="C11" s="118" t="s">
        <v>30</v>
      </c>
      <c r="D11" s="174"/>
      <c r="E11" s="198">
        <v>122.37</v>
      </c>
      <c r="F11" s="174"/>
      <c r="G11" s="198">
        <v>117.77</v>
      </c>
      <c r="H11" s="174"/>
      <c r="I11" s="198">
        <v>115.53</v>
      </c>
      <c r="J11" s="174"/>
      <c r="K11" s="198">
        <v>118.39</v>
      </c>
      <c r="L11" s="174"/>
      <c r="M11" s="198">
        <v>107.12</v>
      </c>
      <c r="N11" s="174"/>
      <c r="O11" s="198">
        <v>113.91</v>
      </c>
      <c r="P11" s="120"/>
      <c r="Q11" s="47"/>
      <c r="R11" s="120"/>
      <c r="S11" s="47"/>
      <c r="T11" s="120"/>
      <c r="U11" s="47">
        <v>289.33</v>
      </c>
      <c r="V11" s="120"/>
      <c r="W11" s="47">
        <v>256.53</v>
      </c>
      <c r="X11" s="239"/>
      <c r="Y11" s="47">
        <v>256.53</v>
      </c>
      <c r="Z11" s="47" t="s">
        <v>3</v>
      </c>
      <c r="AA11" s="47">
        <v>239.64</v>
      </c>
      <c r="AB11" s="47" t="s">
        <v>3</v>
      </c>
      <c r="AC11" s="47">
        <v>217.47</v>
      </c>
      <c r="AD11" s="47"/>
      <c r="AE11" s="47">
        <v>238.97</v>
      </c>
      <c r="AF11" s="47" t="s">
        <v>6</v>
      </c>
      <c r="AG11" s="47">
        <v>206.87</v>
      </c>
      <c r="AH11" s="240" t="s">
        <v>6</v>
      </c>
      <c r="AI11" s="47">
        <v>178.36</v>
      </c>
      <c r="AJ11" s="240" t="s">
        <v>6</v>
      </c>
    </row>
    <row r="12" spans="1:36" s="121" customFormat="1" ht="12.75">
      <c r="A12" s="118" t="s">
        <v>31</v>
      </c>
      <c r="B12" s="118" t="s">
        <v>32</v>
      </c>
      <c r="C12" s="118" t="s">
        <v>33</v>
      </c>
      <c r="D12" s="174"/>
      <c r="E12" s="199">
        <v>87.87</v>
      </c>
      <c r="F12" s="174"/>
      <c r="G12" s="199">
        <v>85.89</v>
      </c>
      <c r="H12" s="174"/>
      <c r="I12" s="199">
        <v>87.65</v>
      </c>
      <c r="J12" s="174"/>
      <c r="K12" s="199">
        <v>90.85</v>
      </c>
      <c r="L12" s="174"/>
      <c r="M12" s="199">
        <v>82.47</v>
      </c>
      <c r="N12" s="174"/>
      <c r="O12" s="199">
        <v>91.05</v>
      </c>
      <c r="P12" s="120"/>
      <c r="R12" s="120"/>
      <c r="T12" s="120"/>
      <c r="U12" s="121">
        <v>186.9</v>
      </c>
      <c r="V12" s="120"/>
      <c r="W12" s="121">
        <v>163.9</v>
      </c>
      <c r="X12" s="239"/>
      <c r="Y12" s="121">
        <v>167.5</v>
      </c>
      <c r="Z12" s="142" t="s">
        <v>3</v>
      </c>
      <c r="AA12" s="142">
        <v>173.53</v>
      </c>
      <c r="AB12" s="142" t="s">
        <v>3</v>
      </c>
      <c r="AC12" s="142">
        <v>160.64</v>
      </c>
      <c r="AD12" s="47" t="s">
        <v>6</v>
      </c>
      <c r="AE12" s="47">
        <v>186.17</v>
      </c>
      <c r="AF12" s="47" t="s">
        <v>6</v>
      </c>
      <c r="AG12" s="47">
        <v>160.64</v>
      </c>
      <c r="AH12" s="240" t="s">
        <v>6</v>
      </c>
      <c r="AI12" s="47">
        <v>132.87</v>
      </c>
      <c r="AJ12" s="118" t="s">
        <v>6</v>
      </c>
    </row>
    <row r="13" spans="1:36" s="243" customFormat="1" ht="25.5">
      <c r="A13" s="126" t="s">
        <v>78</v>
      </c>
      <c r="B13" s="126" t="s">
        <v>82</v>
      </c>
      <c r="C13" s="126" t="s">
        <v>81</v>
      </c>
      <c r="D13" s="171"/>
      <c r="E13" s="197">
        <v>161358287</v>
      </c>
      <c r="F13" s="171"/>
      <c r="G13" s="197">
        <v>161358287</v>
      </c>
      <c r="H13" s="171"/>
      <c r="I13" s="197">
        <v>161358287</v>
      </c>
      <c r="J13" s="171"/>
      <c r="K13" s="197">
        <v>147167666</v>
      </c>
      <c r="L13" s="171"/>
      <c r="M13" s="197">
        <v>147167666</v>
      </c>
      <c r="N13" s="171"/>
      <c r="O13" s="197">
        <v>147167666</v>
      </c>
      <c r="P13" s="127"/>
      <c r="Q13" s="43"/>
      <c r="R13" s="127"/>
      <c r="S13" s="43"/>
      <c r="T13" s="127"/>
      <c r="U13" s="43">
        <v>24432025</v>
      </c>
      <c r="V13" s="127"/>
      <c r="W13" s="43">
        <v>24432025</v>
      </c>
      <c r="X13" s="239"/>
      <c r="Y13" s="43">
        <v>24432025</v>
      </c>
      <c r="Z13" s="47" t="s">
        <v>3</v>
      </c>
      <c r="AA13" s="43">
        <v>24432025</v>
      </c>
      <c r="AB13" s="47" t="s">
        <v>3</v>
      </c>
      <c r="AC13" s="43">
        <v>24458667</v>
      </c>
      <c r="AD13" s="47" t="s">
        <v>6</v>
      </c>
      <c r="AE13" s="43">
        <v>24402157</v>
      </c>
      <c r="AF13" s="47" t="s">
        <v>6</v>
      </c>
      <c r="AG13" s="43">
        <v>25783578</v>
      </c>
      <c r="AH13" s="240" t="s">
        <v>6</v>
      </c>
      <c r="AI13" s="43">
        <v>25783578</v>
      </c>
      <c r="AJ13" s="126" t="s">
        <v>6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1"/>
  <sheetViews>
    <sheetView showGridLines="0" zoomScalePageLayoutView="0" workbookViewId="0" topLeftCell="A1">
      <selection activeCell="B45" sqref="B45"/>
    </sheetView>
  </sheetViews>
  <sheetFormatPr defaultColWidth="11.421875" defaultRowHeight="12.75"/>
  <cols>
    <col min="1" max="1" width="27.57421875" style="0" customWidth="1"/>
    <col min="2" max="2" width="24.7109375" style="0" customWidth="1"/>
    <col min="3" max="3" width="25.00390625" style="0" customWidth="1"/>
    <col min="4" max="4" width="6.140625" style="253" bestFit="1" customWidth="1"/>
    <col min="5" max="5" width="11.140625" style="203" bestFit="1" customWidth="1"/>
    <col min="6" max="6" width="6.140625" style="253" bestFit="1" customWidth="1"/>
    <col min="7" max="7" width="11.140625" style="203" bestFit="1" customWidth="1"/>
    <col min="8" max="8" width="6.140625" style="253" bestFit="1" customWidth="1"/>
    <col min="9" max="9" width="11.140625" style="203" bestFit="1" customWidth="1"/>
    <col min="10" max="10" width="7.140625" style="253" bestFit="1" customWidth="1"/>
    <col min="11" max="11" width="11.140625" style="203" bestFit="1" customWidth="1"/>
    <col min="12" max="12" width="7.140625" style="253" bestFit="1" customWidth="1"/>
    <col min="13" max="13" width="11.140625" style="203" bestFit="1" customWidth="1"/>
    <col min="14" max="14" width="7.140625" style="253" bestFit="1" customWidth="1"/>
    <col min="15" max="15" width="11.140625" style="203" bestFit="1" customWidth="1"/>
  </cols>
  <sheetData>
    <row r="1" spans="1:15" s="87" customFormat="1" ht="12.75">
      <c r="A1" s="79" t="s">
        <v>0</v>
      </c>
      <c r="B1" s="79" t="s">
        <v>1</v>
      </c>
      <c r="C1" s="79" t="s">
        <v>2</v>
      </c>
      <c r="D1" s="144"/>
      <c r="E1" s="256">
        <v>39813</v>
      </c>
      <c r="F1" s="144"/>
      <c r="G1" s="256">
        <v>39757</v>
      </c>
      <c r="H1" s="144"/>
      <c r="I1" s="256">
        <v>39654</v>
      </c>
      <c r="J1" s="254"/>
      <c r="K1" s="256">
        <v>39573</v>
      </c>
      <c r="L1" s="255"/>
      <c r="M1" s="256">
        <v>39510</v>
      </c>
      <c r="N1" s="255"/>
      <c r="O1" s="256">
        <v>39447</v>
      </c>
    </row>
    <row r="2" spans="1:15" ht="12.75">
      <c r="A2" s="1" t="s">
        <v>92</v>
      </c>
      <c r="B2" s="1" t="str">
        <f>A2</f>
        <v>Iberdrola</v>
      </c>
      <c r="C2" s="1" t="str">
        <f>A2</f>
        <v>Iberdrola</v>
      </c>
      <c r="D2" s="149">
        <v>6.4</v>
      </c>
      <c r="E2" s="193">
        <v>185</v>
      </c>
      <c r="F2" s="149">
        <v>6.25</v>
      </c>
      <c r="G2" s="193">
        <v>180</v>
      </c>
      <c r="H2" s="149">
        <v>7.98</v>
      </c>
      <c r="I2" s="193">
        <v>231</v>
      </c>
      <c r="J2" s="149">
        <v>9.47</v>
      </c>
      <c r="K2" s="193">
        <v>273.95</v>
      </c>
      <c r="L2" s="149">
        <v>9.34</v>
      </c>
      <c r="M2" s="193">
        <v>270</v>
      </c>
      <c r="N2" s="149">
        <v>10.4</v>
      </c>
      <c r="O2" s="193">
        <v>724</v>
      </c>
    </row>
    <row r="3" spans="1:15" ht="12.75">
      <c r="A3" s="1" t="s">
        <v>86</v>
      </c>
      <c r="B3" s="1" t="s">
        <v>86</v>
      </c>
      <c r="C3" s="1" t="s">
        <v>86</v>
      </c>
      <c r="D3" s="149">
        <v>52.97</v>
      </c>
      <c r="E3" s="194">
        <v>955</v>
      </c>
      <c r="F3" s="149">
        <v>52.54</v>
      </c>
      <c r="G3" s="194">
        <v>935</v>
      </c>
      <c r="H3" s="149">
        <v>59.36</v>
      </c>
      <c r="I3" s="194">
        <v>919</v>
      </c>
      <c r="J3" s="149">
        <v>73.76</v>
      </c>
      <c r="K3" s="194">
        <v>1026.08</v>
      </c>
      <c r="L3" s="149">
        <v>69.58</v>
      </c>
      <c r="M3" s="194">
        <v>941</v>
      </c>
      <c r="N3" s="149">
        <v>158.1</v>
      </c>
      <c r="O3" s="194">
        <v>1070</v>
      </c>
    </row>
    <row r="4" spans="1:15" ht="12.75">
      <c r="A4" s="1" t="s">
        <v>93</v>
      </c>
      <c r="B4" s="1" t="s">
        <v>93</v>
      </c>
      <c r="C4" s="1" t="s">
        <v>93</v>
      </c>
      <c r="D4" s="149">
        <v>35.33</v>
      </c>
      <c r="E4" s="209">
        <v>4140</v>
      </c>
      <c r="F4" s="149">
        <v>36.22</v>
      </c>
      <c r="G4" s="209">
        <v>4243</v>
      </c>
      <c r="H4" s="149">
        <v>41.8</v>
      </c>
      <c r="I4" s="209">
        <v>4898</v>
      </c>
      <c r="J4" s="149"/>
      <c r="K4" s="195"/>
      <c r="L4" s="149"/>
      <c r="M4" s="195"/>
      <c r="N4" s="149"/>
      <c r="O4" s="195"/>
    </row>
    <row r="5" spans="1:15" ht="12.75">
      <c r="A5" s="1" t="s">
        <v>94</v>
      </c>
      <c r="B5" s="1" t="s">
        <v>94</v>
      </c>
      <c r="C5" s="1" t="s">
        <v>94</v>
      </c>
      <c r="D5" s="149">
        <v>12.05</v>
      </c>
      <c r="E5" s="209">
        <v>422</v>
      </c>
      <c r="F5" s="149">
        <v>14.6</v>
      </c>
      <c r="G5" s="209">
        <v>511</v>
      </c>
      <c r="H5" s="149">
        <v>16.35</v>
      </c>
      <c r="I5" s="209">
        <v>507</v>
      </c>
      <c r="J5" s="149"/>
      <c r="K5" s="195"/>
      <c r="L5" s="149"/>
      <c r="M5" s="195"/>
      <c r="N5" s="149"/>
      <c r="O5" s="195"/>
    </row>
    <row r="6" spans="1:15" ht="12.75">
      <c r="A6" s="30" t="s">
        <v>83</v>
      </c>
      <c r="B6" s="1" t="str">
        <f>A6</f>
        <v>Total</v>
      </c>
      <c r="C6" s="30" t="str">
        <f>A6</f>
        <v>Total</v>
      </c>
      <c r="D6" s="155">
        <v>38.91</v>
      </c>
      <c r="E6" s="196">
        <v>3655</v>
      </c>
      <c r="F6" s="155">
        <v>42.75</v>
      </c>
      <c r="G6" s="196">
        <v>4016</v>
      </c>
      <c r="H6" s="155">
        <v>48.38</v>
      </c>
      <c r="I6" s="196">
        <v>4544</v>
      </c>
      <c r="J6" s="155">
        <v>54.47</v>
      </c>
      <c r="K6" s="196">
        <v>5116.94</v>
      </c>
      <c r="L6" s="155">
        <v>49.6</v>
      </c>
      <c r="M6" s="196">
        <v>4659</v>
      </c>
      <c r="N6" s="155">
        <v>56.83</v>
      </c>
      <c r="O6" s="196">
        <v>5339</v>
      </c>
    </row>
    <row r="7" spans="1:15" ht="12.75">
      <c r="A7" s="30" t="s">
        <v>87</v>
      </c>
      <c r="B7" s="1" t="str">
        <f>A7</f>
        <v>Suez</v>
      </c>
      <c r="C7" s="30" t="str">
        <f>A7</f>
        <v>Suez</v>
      </c>
      <c r="D7" s="155"/>
      <c r="E7" s="196"/>
      <c r="F7" s="155"/>
      <c r="G7" s="196"/>
      <c r="H7" s="155"/>
      <c r="I7" s="196"/>
      <c r="J7" s="155">
        <v>44.62</v>
      </c>
      <c r="K7" s="196">
        <v>5477.72</v>
      </c>
      <c r="L7" s="155">
        <v>40.88</v>
      </c>
      <c r="M7" s="196">
        <v>5019</v>
      </c>
      <c r="N7" s="155">
        <v>46.57</v>
      </c>
      <c r="O7" s="196">
        <v>5682</v>
      </c>
    </row>
    <row r="8" spans="1:15" ht="12.75">
      <c r="A8" s="30" t="s">
        <v>88</v>
      </c>
      <c r="B8" s="1" t="str">
        <f>A8</f>
        <v>Imerys </v>
      </c>
      <c r="C8" s="30" t="str">
        <f>A8</f>
        <v>Imerys </v>
      </c>
      <c r="D8" s="155">
        <v>32.5</v>
      </c>
      <c r="E8" s="196">
        <v>623</v>
      </c>
      <c r="F8" s="155">
        <v>34.8</v>
      </c>
      <c r="G8" s="196">
        <v>667</v>
      </c>
      <c r="H8" s="155">
        <v>40.35</v>
      </c>
      <c r="I8" s="196">
        <v>735</v>
      </c>
      <c r="J8" s="155">
        <v>56.06</v>
      </c>
      <c r="K8" s="196">
        <v>976.52</v>
      </c>
      <c r="L8" s="155">
        <v>54.45</v>
      </c>
      <c r="M8" s="196">
        <v>927</v>
      </c>
      <c r="N8" s="155">
        <v>56.24</v>
      </c>
      <c r="O8" s="196">
        <v>950</v>
      </c>
    </row>
    <row r="9" spans="1:15" ht="12.75">
      <c r="A9" s="12" t="s">
        <v>85</v>
      </c>
      <c r="B9" s="1" t="str">
        <f>A9</f>
        <v>Lafarge</v>
      </c>
      <c r="C9" s="30" t="str">
        <f>A9</f>
        <v>Lafarge</v>
      </c>
      <c r="D9" s="155">
        <v>43.35</v>
      </c>
      <c r="E9" s="209">
        <v>1789</v>
      </c>
      <c r="F9" s="155">
        <v>54.06</v>
      </c>
      <c r="G9" s="209">
        <v>2230</v>
      </c>
      <c r="H9" s="155">
        <v>88.28</v>
      </c>
      <c r="I9" s="209">
        <v>3335</v>
      </c>
      <c r="J9" s="155">
        <v>115</v>
      </c>
      <c r="K9" s="195">
        <v>4192.49</v>
      </c>
      <c r="L9" s="155">
        <v>113.28</v>
      </c>
      <c r="M9" s="195">
        <v>3931</v>
      </c>
      <c r="N9" s="155">
        <v>124.5</v>
      </c>
      <c r="O9" s="195">
        <v>3856</v>
      </c>
    </row>
    <row r="10" spans="1:15" ht="12.75">
      <c r="A10" s="30" t="s">
        <v>17</v>
      </c>
      <c r="B10" s="30" t="s">
        <v>18</v>
      </c>
      <c r="C10" s="30" t="s">
        <v>19</v>
      </c>
      <c r="D10" s="149"/>
      <c r="E10" s="196">
        <v>196</v>
      </c>
      <c r="F10" s="149"/>
      <c r="G10" s="196">
        <v>270</v>
      </c>
      <c r="H10" s="149"/>
      <c r="I10" s="196">
        <v>293.71</v>
      </c>
      <c r="J10" s="155"/>
      <c r="K10" s="196">
        <v>323.93</v>
      </c>
      <c r="L10" s="155"/>
      <c r="M10" s="196">
        <v>303</v>
      </c>
      <c r="N10" s="155"/>
      <c r="O10" s="196">
        <v>322</v>
      </c>
    </row>
    <row r="11" spans="1:15" ht="25.5">
      <c r="A11" s="38" t="s">
        <v>95</v>
      </c>
      <c r="B11" s="38" t="s">
        <v>90</v>
      </c>
      <c r="C11" s="38" t="s">
        <v>91</v>
      </c>
      <c r="D11" s="252"/>
      <c r="E11" s="196">
        <v>846</v>
      </c>
      <c r="F11" s="252"/>
      <c r="G11" s="196">
        <v>698</v>
      </c>
      <c r="H11" s="252"/>
      <c r="I11" s="196">
        <v>1354</v>
      </c>
      <c r="J11" s="155"/>
      <c r="K11" s="196">
        <v>1177.98</v>
      </c>
      <c r="L11" s="155"/>
      <c r="M11" s="196">
        <v>1749</v>
      </c>
      <c r="N11" s="155"/>
      <c r="O11" s="196">
        <v>1803</v>
      </c>
    </row>
    <row r="12" spans="1:15" s="237" customFormat="1" ht="12.75">
      <c r="A12" s="113" t="s">
        <v>25</v>
      </c>
      <c r="B12" s="113" t="s">
        <v>26</v>
      </c>
      <c r="C12" s="113" t="s">
        <v>27</v>
      </c>
      <c r="D12" s="257"/>
      <c r="E12" s="231">
        <v>12811</v>
      </c>
      <c r="F12" s="257"/>
      <c r="G12" s="231">
        <v>13754</v>
      </c>
      <c r="H12" s="257"/>
      <c r="I12" s="231">
        <v>16817</v>
      </c>
      <c r="J12" s="228"/>
      <c r="K12" s="231">
        <v>18565.62</v>
      </c>
      <c r="L12" s="228"/>
      <c r="M12" s="231">
        <v>17800</v>
      </c>
      <c r="N12" s="228"/>
      <c r="O12" s="231">
        <v>19746</v>
      </c>
    </row>
    <row r="13" spans="1:15" s="251" customFormat="1" ht="25.5">
      <c r="A13" s="178" t="s">
        <v>28</v>
      </c>
      <c r="B13" s="178" t="s">
        <v>29</v>
      </c>
      <c r="C13" s="178" t="s">
        <v>30</v>
      </c>
      <c r="D13" s="258"/>
      <c r="E13" s="198">
        <v>79.39</v>
      </c>
      <c r="F13" s="258"/>
      <c r="G13" s="198">
        <v>85.24</v>
      </c>
      <c r="H13" s="258"/>
      <c r="I13" s="198">
        <v>104.22</v>
      </c>
      <c r="J13" s="174"/>
      <c r="K13" s="198">
        <v>115.06</v>
      </c>
      <c r="L13" s="174"/>
      <c r="M13" s="198">
        <v>110.31</v>
      </c>
      <c r="N13" s="174"/>
      <c r="O13" s="198">
        <v>122.37</v>
      </c>
    </row>
    <row r="14" spans="1:15" s="251" customFormat="1" ht="12.75">
      <c r="A14" s="178" t="s">
        <v>31</v>
      </c>
      <c r="B14" s="178" t="s">
        <v>32</v>
      </c>
      <c r="C14" s="178" t="s">
        <v>33</v>
      </c>
      <c r="D14" s="258"/>
      <c r="E14" s="199">
        <v>56.86</v>
      </c>
      <c r="F14" s="258"/>
      <c r="G14" s="199">
        <v>60.63</v>
      </c>
      <c r="H14" s="258"/>
      <c r="I14" s="199">
        <v>71.39</v>
      </c>
      <c r="J14" s="174"/>
      <c r="K14" s="199">
        <v>81.16</v>
      </c>
      <c r="L14" s="174"/>
      <c r="M14" s="199">
        <v>78.53</v>
      </c>
      <c r="N14" s="174"/>
      <c r="O14" s="199">
        <v>87.87</v>
      </c>
    </row>
    <row r="15" spans="1:15" s="251" customFormat="1" ht="12.75">
      <c r="A15" s="248" t="s">
        <v>78</v>
      </c>
      <c r="B15" s="248" t="s">
        <v>82</v>
      </c>
      <c r="C15" s="248" t="s">
        <v>81</v>
      </c>
      <c r="D15" s="260"/>
      <c r="E15" s="197">
        <v>161358287</v>
      </c>
      <c r="F15" s="260"/>
      <c r="G15" s="197">
        <v>161358287</v>
      </c>
      <c r="H15" s="260"/>
      <c r="I15" s="197">
        <v>161358287</v>
      </c>
      <c r="J15" s="171"/>
      <c r="K15" s="197">
        <v>161358287</v>
      </c>
      <c r="L15" s="171"/>
      <c r="M15" s="197">
        <v>161358287</v>
      </c>
      <c r="N15" s="171"/>
      <c r="O15" s="197">
        <v>161358287</v>
      </c>
    </row>
    <row r="16" spans="4:14" ht="12.75">
      <c r="D16" s="191"/>
      <c r="E16" s="221"/>
      <c r="F16" s="191"/>
      <c r="G16" s="221"/>
      <c r="H16" s="191"/>
      <c r="J16" s="191"/>
      <c r="L16" s="191"/>
      <c r="N16" s="191"/>
    </row>
    <row r="17" spans="2:15" ht="12.75">
      <c r="B17" s="57"/>
      <c r="C17" s="58"/>
      <c r="D17" s="224"/>
      <c r="E17" s="225"/>
      <c r="F17" s="224"/>
      <c r="G17" s="225"/>
      <c r="H17" s="224"/>
      <c r="I17" s="225"/>
      <c r="J17" s="224"/>
      <c r="K17" s="225"/>
      <c r="L17" s="224"/>
      <c r="M17" s="225"/>
      <c r="N17" s="224"/>
      <c r="O17" s="225"/>
    </row>
    <row r="18" spans="4:14" ht="12.75">
      <c r="D18" s="190"/>
      <c r="F18" s="190"/>
      <c r="H18" s="190"/>
      <c r="J18" s="190"/>
      <c r="L18" s="190"/>
      <c r="N18" s="190"/>
    </row>
    <row r="19" spans="4:14" ht="12.75">
      <c r="D19" s="190"/>
      <c r="F19" s="190"/>
      <c r="H19" s="190"/>
      <c r="J19" s="190"/>
      <c r="L19" s="190"/>
      <c r="N19" s="190"/>
    </row>
    <row r="20" spans="4:14" ht="12.75">
      <c r="D20" s="190"/>
      <c r="F20" s="190"/>
      <c r="H20" s="190"/>
      <c r="J20" s="190"/>
      <c r="L20" s="190"/>
      <c r="N20" s="190"/>
    </row>
    <row r="21" spans="4:14" ht="12.75">
      <c r="D21" s="190"/>
      <c r="F21" s="190"/>
      <c r="H21" s="190"/>
      <c r="J21" s="190"/>
      <c r="L21" s="190"/>
      <c r="N21" s="190"/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P22"/>
  <sheetViews>
    <sheetView showGridLines="0" zoomScale="90" zoomScaleNormal="90" zoomScalePageLayoutView="0" workbookViewId="0" topLeftCell="A1">
      <selection activeCell="D22" sqref="D22"/>
    </sheetView>
  </sheetViews>
  <sheetFormatPr defaultColWidth="11.421875" defaultRowHeight="12.75"/>
  <cols>
    <col min="1" max="1" width="28.140625" style="0" bestFit="1" customWidth="1"/>
    <col min="2" max="2" width="35.8515625" style="0" bestFit="1" customWidth="1"/>
    <col min="3" max="3" width="32.00390625" style="0" bestFit="1" customWidth="1"/>
    <col min="4" max="4" width="11.57421875" style="191" customWidth="1"/>
    <col min="5" max="5" width="12.421875" style="203" customWidth="1"/>
    <col min="6" max="6" width="11.57421875" style="191" customWidth="1"/>
    <col min="7" max="7" width="12.421875" style="203" customWidth="1"/>
    <col min="8" max="8" width="11.57421875" style="191" customWidth="1"/>
    <col min="9" max="9" width="12.421875" style="203" customWidth="1"/>
    <col min="10" max="10" width="11.57421875" style="191" customWidth="1"/>
    <col min="11" max="11" width="12.421875" style="203" customWidth="1"/>
    <col min="12" max="12" width="11.57421875" style="191" customWidth="1"/>
    <col min="13" max="13" width="12.421875" style="203" customWidth="1"/>
    <col min="14" max="14" width="11.57421875" style="191" customWidth="1"/>
    <col min="15" max="15" width="12.421875" style="203" customWidth="1"/>
    <col min="16" max="16" width="12.421875" style="0" customWidth="1"/>
    <col min="17" max="17" width="11.421875" style="54" customWidth="1"/>
    <col min="18" max="18" width="11.421875" style="0" customWidth="1"/>
    <col min="19" max="19" width="9.140625" style="54" hidden="1" customWidth="1"/>
    <col min="20" max="20" width="9.140625" style="0" hidden="1" customWidth="1"/>
    <col min="21" max="21" width="9.140625" style="54" hidden="1" customWidth="1"/>
    <col min="22" max="22" width="9.140625" style="0" hidden="1" customWidth="1"/>
    <col min="23" max="23" width="11.57421875" style="55" hidden="1" customWidth="1"/>
    <col min="24" max="24" width="9.140625" style="0" hidden="1" customWidth="1"/>
    <col min="25" max="25" width="9.140625" style="55" hidden="1" customWidth="1"/>
    <col min="26" max="26" width="9.140625" style="0" hidden="1" customWidth="1"/>
    <col min="27" max="27" width="11.57421875" style="56" hidden="1" customWidth="1"/>
    <col min="28" max="30" width="9.140625" style="0" hidden="1" customWidth="1"/>
    <col min="31" max="34" width="11.421875" style="0" hidden="1" customWidth="1"/>
    <col min="35" max="35" width="11.421875" style="0" customWidth="1"/>
    <col min="36" max="37" width="9.140625" style="0" hidden="1" customWidth="1"/>
  </cols>
  <sheetData>
    <row r="1" spans="1:37" s="87" customFormat="1" ht="12.75">
      <c r="A1" s="79" t="s">
        <v>0</v>
      </c>
      <c r="B1" s="79" t="s">
        <v>1</v>
      </c>
      <c r="C1" s="79" t="s">
        <v>2</v>
      </c>
      <c r="D1" s="144"/>
      <c r="E1" s="256">
        <v>40178</v>
      </c>
      <c r="F1" s="144"/>
      <c r="G1" s="256">
        <v>40116</v>
      </c>
      <c r="H1" s="144"/>
      <c r="I1" s="256">
        <v>40018</v>
      </c>
      <c r="J1" s="144"/>
      <c r="K1" s="256">
        <v>39939</v>
      </c>
      <c r="L1" s="144"/>
      <c r="M1" s="256">
        <v>39874</v>
      </c>
      <c r="N1" s="144"/>
      <c r="O1" s="256">
        <v>39813</v>
      </c>
      <c r="P1" s="88"/>
      <c r="Q1" s="89"/>
      <c r="R1" s="88"/>
      <c r="S1" s="82"/>
      <c r="T1" s="81">
        <v>36420</v>
      </c>
      <c r="U1" s="82"/>
      <c r="V1" s="81">
        <v>36341</v>
      </c>
      <c r="W1" s="81"/>
      <c r="X1" s="81">
        <v>36231</v>
      </c>
      <c r="Y1" s="81"/>
      <c r="Z1" s="81">
        <v>36160</v>
      </c>
      <c r="AA1" s="83"/>
      <c r="AB1" s="81">
        <v>36052</v>
      </c>
      <c r="AC1" s="84" t="s">
        <v>3</v>
      </c>
      <c r="AD1" s="85">
        <v>35976</v>
      </c>
      <c r="AE1" s="84" t="s">
        <v>3</v>
      </c>
      <c r="AF1" s="85">
        <v>35884</v>
      </c>
      <c r="AG1" s="86" t="s">
        <v>3</v>
      </c>
      <c r="AH1" s="85">
        <v>35795</v>
      </c>
      <c r="AJ1" s="87">
        <v>40.3399</v>
      </c>
      <c r="AK1" s="87">
        <v>6.55957</v>
      </c>
    </row>
    <row r="2" spans="1:34" s="11" customFormat="1" ht="12.75">
      <c r="A2" s="1" t="s">
        <v>92</v>
      </c>
      <c r="B2" s="1" t="str">
        <f>A2</f>
        <v>Iberdrola</v>
      </c>
      <c r="C2" s="1" t="str">
        <f aca="true" t="shared" si="0" ref="C2:C8">A2</f>
        <v>Iberdrola</v>
      </c>
      <c r="D2" s="149">
        <v>6.67</v>
      </c>
      <c r="E2" s="193">
        <v>209.63</v>
      </c>
      <c r="F2" s="149">
        <v>6.18</v>
      </c>
      <c r="G2" s="193">
        <v>194</v>
      </c>
      <c r="H2" s="149">
        <v>5.78</v>
      </c>
      <c r="I2" s="193">
        <v>182</v>
      </c>
      <c r="J2" s="149">
        <v>6.09</v>
      </c>
      <c r="K2" s="193">
        <v>176</v>
      </c>
      <c r="L2" s="149">
        <v>4.8</v>
      </c>
      <c r="M2" s="193">
        <v>139</v>
      </c>
      <c r="N2" s="149">
        <v>6.4</v>
      </c>
      <c r="O2" s="193">
        <v>185</v>
      </c>
      <c r="P2" s="3"/>
      <c r="Q2" s="77"/>
      <c r="R2" s="78"/>
      <c r="S2" s="5"/>
      <c r="T2" s="6"/>
      <c r="U2" s="5"/>
      <c r="V2" s="6"/>
      <c r="W2" s="6"/>
      <c r="X2" s="6"/>
      <c r="Y2" s="6"/>
      <c r="Z2" s="6"/>
      <c r="AA2" s="7"/>
      <c r="AB2" s="6"/>
      <c r="AC2" s="8"/>
      <c r="AD2" s="9"/>
      <c r="AE2" s="8"/>
      <c r="AF2" s="9"/>
      <c r="AG2" s="10"/>
      <c r="AH2" s="9"/>
    </row>
    <row r="3" spans="1:35" s="19" customFormat="1" ht="12.75">
      <c r="A3" s="1" t="s">
        <v>86</v>
      </c>
      <c r="B3" s="1" t="str">
        <f>A3</f>
        <v>Pernod Ricard</v>
      </c>
      <c r="C3" s="1" t="str">
        <f t="shared" si="0"/>
        <v>Pernod Ricard</v>
      </c>
      <c r="D3" s="149">
        <v>59.91</v>
      </c>
      <c r="E3" s="194">
        <v>1444.39</v>
      </c>
      <c r="F3" s="149">
        <v>56.79</v>
      </c>
      <c r="G3" s="194">
        <v>1304</v>
      </c>
      <c r="H3" s="149">
        <v>52.34</v>
      </c>
      <c r="I3" s="194">
        <v>1198</v>
      </c>
      <c r="J3" s="149">
        <v>45.49</v>
      </c>
      <c r="K3" s="194">
        <v>966</v>
      </c>
      <c r="L3" s="149">
        <v>41.87</v>
      </c>
      <c r="M3" s="194">
        <v>756</v>
      </c>
      <c r="N3" s="149">
        <v>52.97</v>
      </c>
      <c r="O3" s="194">
        <v>955</v>
      </c>
      <c r="P3" s="13"/>
      <c r="Q3" s="14"/>
      <c r="R3" s="15"/>
      <c r="S3" s="14">
        <v>48.35</v>
      </c>
      <c r="T3" s="15">
        <v>1302</v>
      </c>
      <c r="U3" s="14">
        <v>46.55</v>
      </c>
      <c r="V3" s="15">
        <v>1242</v>
      </c>
      <c r="W3" s="16">
        <v>37.45</v>
      </c>
      <c r="X3" s="15">
        <v>991</v>
      </c>
      <c r="Y3" s="17">
        <f>1550/AJ1</f>
        <v>38.42349633985211</v>
      </c>
      <c r="Z3" s="18">
        <f>40072/AJ1</f>
        <v>993.3589324713249</v>
      </c>
      <c r="AA3" s="17">
        <f>1498/AJ1</f>
        <v>37.13445001103126</v>
      </c>
      <c r="AB3" s="18">
        <f>38499/AJ1</f>
        <v>954.3652810244944</v>
      </c>
      <c r="AC3" s="17">
        <f>1520/AJ1</f>
        <v>37.67981576553239</v>
      </c>
      <c r="AD3" s="18">
        <f>38837/AJ1</f>
        <v>962.7440821618299</v>
      </c>
      <c r="AE3" s="17">
        <f>1510/AJ1</f>
        <v>37.43192224075915</v>
      </c>
      <c r="AF3" s="18">
        <f>26966/AJ1</f>
        <v>668.4696789035173</v>
      </c>
      <c r="AG3" s="4">
        <f>1510/AJ1</f>
        <v>37.43192224075915</v>
      </c>
      <c r="AH3" s="18">
        <f>25184/AJ1</f>
        <v>624.2950527889261</v>
      </c>
      <c r="AI3" s="12" t="s">
        <v>6</v>
      </c>
    </row>
    <row r="4" spans="1:172" s="29" customFormat="1" ht="12.75">
      <c r="A4" s="1" t="s">
        <v>93</v>
      </c>
      <c r="B4" s="1" t="s">
        <v>93</v>
      </c>
      <c r="C4" s="1" t="str">
        <f t="shared" si="0"/>
        <v>GDF SUEZ</v>
      </c>
      <c r="D4" s="149">
        <v>30.29</v>
      </c>
      <c r="E4" s="209">
        <v>3548.91</v>
      </c>
      <c r="F4" s="149">
        <v>28.51</v>
      </c>
      <c r="G4" s="209">
        <v>3340</v>
      </c>
      <c r="H4" s="149">
        <v>26.3</v>
      </c>
      <c r="I4" s="209">
        <v>3082</v>
      </c>
      <c r="J4" s="149">
        <v>27.53</v>
      </c>
      <c r="K4" s="209">
        <v>3109</v>
      </c>
      <c r="L4" s="149">
        <v>23.25</v>
      </c>
      <c r="M4" s="209">
        <v>2725</v>
      </c>
      <c r="N4" s="149">
        <v>35.33</v>
      </c>
      <c r="O4" s="209">
        <v>4140</v>
      </c>
      <c r="P4" s="21"/>
      <c r="Q4" s="22"/>
      <c r="R4" s="23"/>
      <c r="S4" s="24"/>
      <c r="T4" s="25"/>
      <c r="U4" s="24"/>
      <c r="V4" s="25"/>
      <c r="W4" s="26"/>
      <c r="X4" s="25"/>
      <c r="Y4" s="27"/>
      <c r="Z4" s="28"/>
      <c r="AA4" s="27"/>
      <c r="AB4" s="28"/>
      <c r="AC4" s="27"/>
      <c r="AD4" s="28"/>
      <c r="AE4" s="27"/>
      <c r="AF4" s="28"/>
      <c r="AG4" s="27"/>
      <c r="AH4" s="28"/>
      <c r="AI4" s="28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</row>
    <row r="5" spans="1:172" s="29" customFormat="1" ht="12.75">
      <c r="A5" s="1" t="s">
        <v>94</v>
      </c>
      <c r="B5" s="1" t="s">
        <v>94</v>
      </c>
      <c r="C5" s="1" t="str">
        <f t="shared" si="0"/>
        <v>Suez Environnement</v>
      </c>
      <c r="D5" s="149">
        <v>16.13</v>
      </c>
      <c r="E5" s="209">
        <v>564.38</v>
      </c>
      <c r="F5" s="149">
        <v>15.14</v>
      </c>
      <c r="G5" s="209">
        <v>530</v>
      </c>
      <c r="H5" s="149">
        <v>12.76</v>
      </c>
      <c r="I5" s="209">
        <v>446</v>
      </c>
      <c r="J5" s="149">
        <v>12.54</v>
      </c>
      <c r="K5" s="209">
        <v>439</v>
      </c>
      <c r="L5" s="149">
        <v>10.59</v>
      </c>
      <c r="M5" s="209">
        <v>370</v>
      </c>
      <c r="N5" s="149">
        <v>12.05</v>
      </c>
      <c r="O5" s="209">
        <v>422</v>
      </c>
      <c r="P5" s="21"/>
      <c r="Q5" s="22"/>
      <c r="R5" s="23"/>
      <c r="S5" s="24"/>
      <c r="T5" s="25"/>
      <c r="U5" s="24"/>
      <c r="V5" s="25"/>
      <c r="W5" s="26"/>
      <c r="X5" s="25"/>
      <c r="Y5" s="27"/>
      <c r="Z5" s="28"/>
      <c r="AA5" s="27"/>
      <c r="AB5" s="28"/>
      <c r="AC5" s="27"/>
      <c r="AD5" s="28"/>
      <c r="AE5" s="27"/>
      <c r="AF5" s="28"/>
      <c r="AG5" s="27"/>
      <c r="AH5" s="28"/>
      <c r="AI5" s="28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</row>
    <row r="6" spans="1:35" s="19" customFormat="1" ht="12.75">
      <c r="A6" s="30" t="s">
        <v>83</v>
      </c>
      <c r="B6" s="1" t="str">
        <f>A6</f>
        <v>Total</v>
      </c>
      <c r="C6" s="1" t="str">
        <f t="shared" si="0"/>
        <v>Total</v>
      </c>
      <c r="D6" s="155">
        <v>45.01</v>
      </c>
      <c r="E6" s="196">
        <v>4227.79</v>
      </c>
      <c r="F6" s="155">
        <v>40.64</v>
      </c>
      <c r="G6" s="196">
        <v>3817</v>
      </c>
      <c r="H6" s="155">
        <v>40.19</v>
      </c>
      <c r="I6" s="196">
        <v>3775</v>
      </c>
      <c r="J6" s="155">
        <v>39.75</v>
      </c>
      <c r="K6" s="196">
        <v>3734</v>
      </c>
      <c r="L6" s="155">
        <v>35.33</v>
      </c>
      <c r="M6" s="196">
        <v>3318</v>
      </c>
      <c r="N6" s="155">
        <v>38.91</v>
      </c>
      <c r="O6" s="196">
        <v>3655</v>
      </c>
      <c r="P6" s="31"/>
      <c r="Q6" s="14"/>
      <c r="R6" s="15"/>
      <c r="S6" s="14">
        <v>120.9</v>
      </c>
      <c r="T6" s="15">
        <v>2351</v>
      </c>
      <c r="U6" s="14">
        <v>125.1</v>
      </c>
      <c r="V6" s="15">
        <v>2399</v>
      </c>
      <c r="W6" s="32">
        <f>460.3/4.5</f>
        <v>102.28888888888889</v>
      </c>
      <c r="X6" s="15">
        <v>1921</v>
      </c>
      <c r="Y6" s="17">
        <v>86.76</v>
      </c>
      <c r="Z6" s="18">
        <v>1590</v>
      </c>
      <c r="AA6" s="17" t="e">
        <f>12875/(#REF!*4.5)</f>
        <v>#REF!</v>
      </c>
      <c r="AB6" s="18" t="e">
        <f>52109/#REF!</f>
        <v>#REF!</v>
      </c>
      <c r="AC6" s="17" t="e">
        <f>15275/(#REF!*4.5)</f>
        <v>#REF!</v>
      </c>
      <c r="AD6" s="18" t="e">
        <f>61445/#REF!</f>
        <v>#REF!</v>
      </c>
      <c r="AE6" s="17" t="e">
        <f>13950/#REF!</f>
        <v>#REF!</v>
      </c>
      <c r="AF6" s="18" t="e">
        <f>38455/#REF!</f>
        <v>#REF!</v>
      </c>
      <c r="AG6" s="4" t="e">
        <f>13675/#REF!</f>
        <v>#REF!</v>
      </c>
      <c r="AH6" s="18" t="e">
        <f>35072/#REF!</f>
        <v>#REF!</v>
      </c>
      <c r="AI6" s="30" t="s">
        <v>6</v>
      </c>
    </row>
    <row r="7" spans="1:35" s="19" customFormat="1" ht="12.75">
      <c r="A7" s="30" t="s">
        <v>88</v>
      </c>
      <c r="B7" s="1" t="str">
        <f>A7</f>
        <v>Imerys </v>
      </c>
      <c r="C7" s="1" t="str">
        <f t="shared" si="0"/>
        <v>Imerys </v>
      </c>
      <c r="D7" s="155">
        <v>42.02</v>
      </c>
      <c r="E7" s="196">
        <v>971.16</v>
      </c>
      <c r="F7" s="155">
        <v>37.4</v>
      </c>
      <c r="G7" s="196">
        <v>864</v>
      </c>
      <c r="H7" s="155">
        <v>33.51</v>
      </c>
      <c r="I7" s="196">
        <v>775</v>
      </c>
      <c r="J7" s="155">
        <v>33</v>
      </c>
      <c r="K7" s="196">
        <v>686</v>
      </c>
      <c r="L7" s="155">
        <v>24.15</v>
      </c>
      <c r="M7" s="196">
        <v>463</v>
      </c>
      <c r="N7" s="155">
        <v>32.5</v>
      </c>
      <c r="O7" s="196">
        <v>623</v>
      </c>
      <c r="P7" s="31"/>
      <c r="Q7" s="14"/>
      <c r="R7" s="18"/>
      <c r="S7" s="14">
        <v>159.9</v>
      </c>
      <c r="T7" s="18">
        <v>2134</v>
      </c>
      <c r="U7" s="14">
        <v>174.9</v>
      </c>
      <c r="V7" s="18">
        <v>2278</v>
      </c>
      <c r="W7" s="17">
        <v>173.2</v>
      </c>
      <c r="X7" s="18">
        <v>2197</v>
      </c>
      <c r="Y7" s="17">
        <f>1148/AK1</f>
        <v>175.0114717885471</v>
      </c>
      <c r="Z7" s="18">
        <f>85728/AJ1</f>
        <v>2125.1416091760266</v>
      </c>
      <c r="AA7" s="17">
        <f>1029/AK1</f>
        <v>156.8700387372953</v>
      </c>
      <c r="AB7" s="18">
        <f>76396/AJ1</f>
        <v>1893.8073718576397</v>
      </c>
      <c r="AC7" s="17">
        <f>995/AK1</f>
        <v>151.68677215122332</v>
      </c>
      <c r="AD7" s="18">
        <f>73440/AJ1</f>
        <v>1820.5300459346702</v>
      </c>
      <c r="AE7" s="17">
        <f>889/AK1</f>
        <v>135.52717632405782</v>
      </c>
      <c r="AF7" s="18">
        <f>41140/AJ1</f>
        <v>1019.8339609171069</v>
      </c>
      <c r="AG7" s="4">
        <f>666/AK1</f>
        <v>101.53104548011531</v>
      </c>
      <c r="AH7" s="18">
        <f>28071/AJ1</f>
        <v>695.8619133909604</v>
      </c>
      <c r="AI7" s="30" t="s">
        <v>6</v>
      </c>
    </row>
    <row r="8" spans="1:35" s="19" customFormat="1" ht="12.75">
      <c r="A8" s="12" t="s">
        <v>85</v>
      </c>
      <c r="B8" s="1" t="str">
        <f>A8</f>
        <v>Lafarge</v>
      </c>
      <c r="C8" s="1" t="str">
        <f t="shared" si="0"/>
        <v>Lafarge</v>
      </c>
      <c r="D8" s="155">
        <v>57.81</v>
      </c>
      <c r="E8" s="209">
        <v>3486.43</v>
      </c>
      <c r="F8" s="155">
        <v>55.45</v>
      </c>
      <c r="G8" s="209">
        <v>3344</v>
      </c>
      <c r="H8" s="155">
        <v>49.56</v>
      </c>
      <c r="I8" s="209">
        <v>2989</v>
      </c>
      <c r="J8" s="155">
        <v>45.94</v>
      </c>
      <c r="K8" s="209">
        <v>2719</v>
      </c>
      <c r="L8" s="155">
        <v>32.83</v>
      </c>
      <c r="M8" s="209">
        <v>1354</v>
      </c>
      <c r="N8" s="155">
        <v>43.35</v>
      </c>
      <c r="O8" s="209">
        <v>1789</v>
      </c>
      <c r="P8" s="31"/>
      <c r="Q8" s="14"/>
      <c r="R8" s="15"/>
      <c r="S8" s="14">
        <v>149.1</v>
      </c>
      <c r="T8" s="15">
        <v>624</v>
      </c>
      <c r="U8" s="14">
        <v>144</v>
      </c>
      <c r="V8" s="15">
        <v>603</v>
      </c>
      <c r="W8" s="16">
        <v>99.6</v>
      </c>
      <c r="X8" s="15">
        <v>417</v>
      </c>
      <c r="Y8" s="17">
        <f>560/AK1</f>
        <v>85.37144965294982</v>
      </c>
      <c r="Z8" s="18">
        <f>14416/AJ1</f>
        <v>357.36330531310193</v>
      </c>
      <c r="AA8" s="17">
        <f>563/AK1</f>
        <v>85.82879670466204</v>
      </c>
      <c r="AB8" s="18">
        <f>14484/AJ1</f>
        <v>359.0489812815599</v>
      </c>
      <c r="AC8" s="17">
        <f>831/AK1</f>
        <v>126.68513332428803</v>
      </c>
      <c r="AD8" s="18">
        <f>19136/AJ1</f>
        <v>474.3690490060709</v>
      </c>
      <c r="AE8" s="17">
        <f>818/AK1</f>
        <v>124.7032961002017</v>
      </c>
      <c r="AF8" s="18">
        <f>16662/AJ1</f>
        <v>413.0401909771715</v>
      </c>
      <c r="AG8" s="4">
        <f>748/AK1</f>
        <v>114.03186489358296</v>
      </c>
      <c r="AH8" s="18">
        <f>15243/AJ1</f>
        <v>377.8640998118488</v>
      </c>
      <c r="AI8" s="30" t="s">
        <v>6</v>
      </c>
    </row>
    <row r="9" spans="1:35" s="19" customFormat="1" ht="12.75">
      <c r="A9" s="12"/>
      <c r="D9" s="253"/>
      <c r="E9" s="221"/>
      <c r="F9" s="253"/>
      <c r="G9" s="221"/>
      <c r="H9" s="253"/>
      <c r="I9" s="221"/>
      <c r="J9" s="253"/>
      <c r="K9" s="221"/>
      <c r="L9" s="253"/>
      <c r="M9" s="221"/>
      <c r="N9" s="253"/>
      <c r="O9" s="221"/>
      <c r="P9" s="31"/>
      <c r="Q9" s="14"/>
      <c r="R9" s="18"/>
      <c r="S9" s="33"/>
      <c r="T9" s="33" t="s">
        <v>16</v>
      </c>
      <c r="U9" s="34"/>
      <c r="V9" s="33" t="s">
        <v>16</v>
      </c>
      <c r="W9" s="35"/>
      <c r="X9" s="33" t="s">
        <v>16</v>
      </c>
      <c r="Y9" s="36"/>
      <c r="Z9" s="33" t="s">
        <v>16</v>
      </c>
      <c r="AA9" s="36"/>
      <c r="AB9" s="33"/>
      <c r="AC9" s="36"/>
      <c r="AD9" s="33"/>
      <c r="AE9" s="36"/>
      <c r="AF9" s="18"/>
      <c r="AG9" s="37"/>
      <c r="AH9" s="18"/>
      <c r="AI9" s="30"/>
    </row>
    <row r="10" spans="1:35" s="19" customFormat="1" ht="12.75">
      <c r="A10" s="30" t="s">
        <v>17</v>
      </c>
      <c r="B10" s="30" t="s">
        <v>18</v>
      </c>
      <c r="C10" s="30" t="s">
        <v>19</v>
      </c>
      <c r="D10" s="149"/>
      <c r="E10" s="196">
        <v>212</v>
      </c>
      <c r="F10" s="149"/>
      <c r="G10" s="196">
        <v>206</v>
      </c>
      <c r="H10" s="149"/>
      <c r="I10" s="196">
        <v>188</v>
      </c>
      <c r="J10" s="149"/>
      <c r="K10" s="196">
        <v>202</v>
      </c>
      <c r="L10" s="149"/>
      <c r="M10" s="196">
        <v>190</v>
      </c>
      <c r="N10" s="149"/>
      <c r="O10" s="196">
        <v>196</v>
      </c>
      <c r="P10" s="31"/>
      <c r="Q10" s="14"/>
      <c r="R10" s="15"/>
      <c r="S10" s="34"/>
      <c r="T10" s="15">
        <v>266</v>
      </c>
      <c r="U10" s="34"/>
      <c r="V10" s="15">
        <v>257</v>
      </c>
      <c r="W10" s="35"/>
      <c r="X10" s="15">
        <f>25+190</f>
        <v>215</v>
      </c>
      <c r="Y10" s="36" t="s">
        <v>3</v>
      </c>
      <c r="Z10" s="18">
        <f>7517/AJ1+1</f>
        <v>187.34156257204407</v>
      </c>
      <c r="AA10" s="36" t="s">
        <v>3</v>
      </c>
      <c r="AB10" s="18">
        <f>10221/AJ1</f>
        <v>253.371971670728</v>
      </c>
      <c r="AC10" s="36" t="s">
        <v>6</v>
      </c>
      <c r="AD10" s="18">
        <f>13264/AJ1</f>
        <v>328.80597125922475</v>
      </c>
      <c r="AE10" s="36" t="s">
        <v>6</v>
      </c>
      <c r="AF10" s="18">
        <f>15670/AJ1+1</f>
        <v>389.44915331966615</v>
      </c>
      <c r="AG10" s="37" t="s">
        <v>6</v>
      </c>
      <c r="AH10" s="18">
        <f>22978/AJ1</f>
        <v>569.6097412239495</v>
      </c>
      <c r="AI10" s="30" t="s">
        <v>6</v>
      </c>
    </row>
    <row r="11" spans="1:35" s="40" customFormat="1" ht="25.5">
      <c r="A11" s="38" t="s">
        <v>95</v>
      </c>
      <c r="B11" s="38" t="s">
        <v>90</v>
      </c>
      <c r="C11" s="38" t="s">
        <v>91</v>
      </c>
      <c r="D11" s="252"/>
      <c r="E11" s="196">
        <v>568.49</v>
      </c>
      <c r="F11" s="252"/>
      <c r="G11" s="196">
        <v>390</v>
      </c>
      <c r="H11" s="252"/>
      <c r="I11" s="196">
        <v>319</v>
      </c>
      <c r="J11" s="252"/>
      <c r="K11" s="196">
        <v>263</v>
      </c>
      <c r="L11" s="252"/>
      <c r="M11" s="196">
        <v>743</v>
      </c>
      <c r="N11" s="252"/>
      <c r="O11" s="196">
        <v>846</v>
      </c>
      <c r="P11" s="31"/>
      <c r="Q11" s="14"/>
      <c r="R11" s="15"/>
      <c r="S11" s="39"/>
      <c r="T11" s="40">
        <v>392</v>
      </c>
      <c r="U11" s="39"/>
      <c r="V11" s="40">
        <v>414</v>
      </c>
      <c r="W11" s="41"/>
      <c r="X11" s="40">
        <v>527</v>
      </c>
      <c r="Y11" s="42" t="s">
        <v>3</v>
      </c>
      <c r="Z11" s="42">
        <f>24308/AJ1</f>
        <v>602.5795800187904</v>
      </c>
      <c r="AA11" s="42" t="s">
        <v>3</v>
      </c>
      <c r="AB11" s="42">
        <f>22554/AJ1</f>
        <v>559.0990557735641</v>
      </c>
      <c r="AC11" s="42" t="s">
        <v>6</v>
      </c>
      <c r="AD11" s="42">
        <f>29104/AJ1</f>
        <v>721.4693145000359</v>
      </c>
      <c r="AE11" s="42" t="s">
        <v>6</v>
      </c>
      <c r="AF11" s="42">
        <f>48989/AJ1+1</f>
        <v>1215.4055885116225</v>
      </c>
      <c r="AG11" s="38" t="s">
        <v>6</v>
      </c>
      <c r="AH11" s="42">
        <f>37124/AJ1+1</f>
        <v>921.279921368174</v>
      </c>
      <c r="AI11" s="38" t="s">
        <v>6</v>
      </c>
    </row>
    <row r="12" spans="1:37" s="237" customFormat="1" ht="12.75">
      <c r="A12" s="113" t="s">
        <v>25</v>
      </c>
      <c r="B12" s="113" t="s">
        <v>26</v>
      </c>
      <c r="C12" s="113" t="s">
        <v>27</v>
      </c>
      <c r="D12" s="257"/>
      <c r="E12" s="231">
        <v>15232.2</v>
      </c>
      <c r="F12" s="257"/>
      <c r="G12" s="231">
        <v>13990</v>
      </c>
      <c r="H12" s="257"/>
      <c r="I12" s="231">
        <v>12954</v>
      </c>
      <c r="J12" s="257"/>
      <c r="K12" s="231">
        <v>12294</v>
      </c>
      <c r="L12" s="257"/>
      <c r="M12" s="231">
        <v>10059</v>
      </c>
      <c r="N12" s="257"/>
      <c r="O12" s="231">
        <v>12811</v>
      </c>
      <c r="P12" s="141"/>
      <c r="Q12" s="232"/>
      <c r="R12" s="116"/>
      <c r="S12" s="233"/>
      <c r="T12" s="116" t="e">
        <f>SUM(T3:T7:#REF!)-#REF!-T4</f>
        <v>#REF!</v>
      </c>
      <c r="U12" s="233"/>
      <c r="V12" s="116" t="e">
        <f>SUM(V3:V7:#REF!)-#REF!-V4</f>
        <v>#REF!</v>
      </c>
      <c r="W12" s="234"/>
      <c r="X12" s="116" t="e">
        <f>SUM(X3:X7:#REF!)-#REF!-X4</f>
        <v>#REF!</v>
      </c>
      <c r="Y12" s="235" t="s">
        <v>3</v>
      </c>
      <c r="Z12" s="116" t="e">
        <f>SUM(Z3:Z7:#REF!)-#REF!-Z4-1</f>
        <v>#REF!</v>
      </c>
      <c r="AA12" s="235" t="s">
        <v>3</v>
      </c>
      <c r="AB12" s="116">
        <f>SUM(AB7:AB11)</f>
        <v>3065.3273805834915</v>
      </c>
      <c r="AC12" s="235" t="s">
        <v>6</v>
      </c>
      <c r="AD12" s="116">
        <f>SUM(AD7:AD11)</f>
        <v>3345.174380700002</v>
      </c>
      <c r="AE12" s="235" t="s">
        <v>6</v>
      </c>
      <c r="AF12" s="116">
        <f>SUM(AF7:AF11)-2</f>
        <v>3035.728893725567</v>
      </c>
      <c r="AG12" s="236" t="s">
        <v>6</v>
      </c>
      <c r="AH12" s="116">
        <f>SUM(AH7:AH11)-1</f>
        <v>2563.615675794933</v>
      </c>
      <c r="AI12" s="113" t="s">
        <v>6</v>
      </c>
      <c r="AJ12" s="237">
        <f>236182/AJ1</f>
        <v>5854.798846799323</v>
      </c>
      <c r="AK12" s="237">
        <f>214263/AJ1</f>
        <v>5311.441029848859</v>
      </c>
    </row>
    <row r="13" spans="1:35" s="121" customFormat="1" ht="25.5" customHeight="1">
      <c r="A13" s="118" t="s">
        <v>28</v>
      </c>
      <c r="B13" s="118" t="s">
        <v>29</v>
      </c>
      <c r="C13" s="118" t="s">
        <v>30</v>
      </c>
      <c r="D13" s="258"/>
      <c r="E13" s="198">
        <v>94.4</v>
      </c>
      <c r="F13" s="258"/>
      <c r="G13" s="198">
        <v>86.7</v>
      </c>
      <c r="H13" s="258"/>
      <c r="I13" s="198">
        <v>80.28</v>
      </c>
      <c r="J13" s="258"/>
      <c r="K13" s="198">
        <v>76.19</v>
      </c>
      <c r="L13" s="258"/>
      <c r="M13" s="198">
        <v>62.34</v>
      </c>
      <c r="N13" s="258"/>
      <c r="O13" s="198">
        <v>79.39</v>
      </c>
      <c r="P13" s="142"/>
      <c r="Q13" s="261"/>
      <c r="R13" s="47"/>
      <c r="S13" s="120"/>
      <c r="T13" s="47">
        <v>289.33</v>
      </c>
      <c r="U13" s="120"/>
      <c r="V13" s="47">
        <v>256.53</v>
      </c>
      <c r="W13" s="239"/>
      <c r="X13" s="47">
        <v>256.53</v>
      </c>
      <c r="Y13" s="47" t="s">
        <v>3</v>
      </c>
      <c r="Z13" s="47">
        <v>239.64</v>
      </c>
      <c r="AA13" s="47" t="s">
        <v>3</v>
      </c>
      <c r="AB13" s="47">
        <v>217.47</v>
      </c>
      <c r="AC13" s="47"/>
      <c r="AD13" s="47">
        <v>238.97</v>
      </c>
      <c r="AE13" s="47" t="s">
        <v>6</v>
      </c>
      <c r="AF13" s="47">
        <v>206.87</v>
      </c>
      <c r="AG13" s="240" t="s">
        <v>6</v>
      </c>
      <c r="AH13" s="47">
        <v>178.36</v>
      </c>
      <c r="AI13" s="240" t="s">
        <v>6</v>
      </c>
    </row>
    <row r="14" spans="1:35" s="121" customFormat="1" ht="12.75">
      <c r="A14" s="118" t="s">
        <v>31</v>
      </c>
      <c r="B14" s="118" t="s">
        <v>32</v>
      </c>
      <c r="C14" s="118" t="s">
        <v>33</v>
      </c>
      <c r="D14" s="258"/>
      <c r="E14" s="199">
        <v>66.05</v>
      </c>
      <c r="F14" s="258"/>
      <c r="G14" s="199">
        <v>60.05</v>
      </c>
      <c r="H14" s="258"/>
      <c r="I14" s="199">
        <v>54.93</v>
      </c>
      <c r="J14" s="258"/>
      <c r="K14" s="199">
        <v>58.2</v>
      </c>
      <c r="L14" s="258"/>
      <c r="M14" s="199">
        <v>48.76</v>
      </c>
      <c r="N14" s="258"/>
      <c r="O14" s="199">
        <v>56.86</v>
      </c>
      <c r="P14" s="118"/>
      <c r="Q14" s="120"/>
      <c r="S14" s="120"/>
      <c r="T14" s="121">
        <v>186.9</v>
      </c>
      <c r="U14" s="120"/>
      <c r="V14" s="121">
        <v>163.9</v>
      </c>
      <c r="W14" s="239"/>
      <c r="X14" s="121">
        <v>167.5</v>
      </c>
      <c r="Y14" s="142" t="s">
        <v>3</v>
      </c>
      <c r="Z14" s="142">
        <v>173.53</v>
      </c>
      <c r="AA14" s="142" t="s">
        <v>3</v>
      </c>
      <c r="AB14" s="142">
        <v>160.64</v>
      </c>
      <c r="AC14" s="47" t="s">
        <v>6</v>
      </c>
      <c r="AD14" s="47">
        <v>186.17</v>
      </c>
      <c r="AE14" s="47" t="s">
        <v>6</v>
      </c>
      <c r="AF14" s="47">
        <v>160.64</v>
      </c>
      <c r="AG14" s="240" t="s">
        <v>6</v>
      </c>
      <c r="AH14" s="47">
        <v>132.87</v>
      </c>
      <c r="AI14" s="118" t="s">
        <v>6</v>
      </c>
    </row>
    <row r="15" spans="1:35" s="124" customFormat="1" ht="12.75">
      <c r="A15" s="122"/>
      <c r="B15" s="122"/>
      <c r="C15" s="122"/>
      <c r="D15" s="259"/>
      <c r="E15" s="200"/>
      <c r="F15" s="259"/>
      <c r="G15" s="200"/>
      <c r="H15" s="259"/>
      <c r="I15" s="200"/>
      <c r="J15" s="259"/>
      <c r="K15" s="200"/>
      <c r="L15" s="259"/>
      <c r="M15" s="200"/>
      <c r="N15" s="259"/>
      <c r="O15" s="200"/>
      <c r="P15" s="122"/>
      <c r="Q15" s="125"/>
      <c r="S15" s="125"/>
      <c r="T15" s="124">
        <v>0.354</v>
      </c>
      <c r="U15" s="125"/>
      <c r="V15" s="124">
        <v>0.443</v>
      </c>
      <c r="W15" s="262"/>
      <c r="X15" s="124">
        <v>0.347</v>
      </c>
      <c r="Y15" s="263" t="s">
        <v>3</v>
      </c>
      <c r="Z15" s="263">
        <v>0.276</v>
      </c>
      <c r="AA15" s="263" t="s">
        <v>3</v>
      </c>
      <c r="AB15" s="263">
        <v>0.26</v>
      </c>
      <c r="AC15" s="263" t="s">
        <v>6</v>
      </c>
      <c r="AD15" s="263">
        <v>0.221</v>
      </c>
      <c r="AE15" s="263" t="s">
        <v>6</v>
      </c>
      <c r="AF15" s="263">
        <v>0.224</v>
      </c>
      <c r="AG15" s="122" t="s">
        <v>6</v>
      </c>
      <c r="AH15" s="263">
        <v>0.255</v>
      </c>
      <c r="AI15" s="122" t="s">
        <v>6</v>
      </c>
    </row>
    <row r="16" spans="1:35" s="243" customFormat="1" ht="12.75">
      <c r="A16" s="126" t="s">
        <v>78</v>
      </c>
      <c r="B16" s="126" t="s">
        <v>82</v>
      </c>
      <c r="C16" s="264" t="s">
        <v>81</v>
      </c>
      <c r="D16" s="265"/>
      <c r="E16" s="267">
        <v>161358287</v>
      </c>
      <c r="F16" s="265"/>
      <c r="G16" s="267">
        <v>161358287</v>
      </c>
      <c r="H16" s="265"/>
      <c r="I16" s="267">
        <v>161358287</v>
      </c>
      <c r="J16" s="266"/>
      <c r="K16" s="267">
        <v>161358287</v>
      </c>
      <c r="L16" s="266"/>
      <c r="M16" s="267">
        <v>161358287</v>
      </c>
      <c r="N16" s="266"/>
      <c r="O16" s="267">
        <v>161358287</v>
      </c>
      <c r="P16" s="143"/>
      <c r="Q16" s="242"/>
      <c r="R16" s="43"/>
      <c r="S16" s="127"/>
      <c r="T16" s="43">
        <v>24432025</v>
      </c>
      <c r="U16" s="127"/>
      <c r="V16" s="43">
        <v>24432025</v>
      </c>
      <c r="W16" s="239"/>
      <c r="X16" s="43">
        <v>24432025</v>
      </c>
      <c r="Y16" s="47" t="s">
        <v>3</v>
      </c>
      <c r="Z16" s="43">
        <v>24432025</v>
      </c>
      <c r="AA16" s="47" t="s">
        <v>3</v>
      </c>
      <c r="AB16" s="43">
        <v>24458667</v>
      </c>
      <c r="AC16" s="47" t="s">
        <v>6</v>
      </c>
      <c r="AD16" s="43">
        <v>24402157</v>
      </c>
      <c r="AE16" s="47" t="s">
        <v>6</v>
      </c>
      <c r="AF16" s="43">
        <v>25783578</v>
      </c>
      <c r="AG16" s="240" t="s">
        <v>6</v>
      </c>
      <c r="AH16" s="43">
        <v>25783578</v>
      </c>
      <c r="AI16" s="126" t="s">
        <v>6</v>
      </c>
    </row>
    <row r="17" spans="5:17" ht="12.75">
      <c r="E17" s="221"/>
      <c r="G17" s="221"/>
      <c r="I17" s="221"/>
      <c r="Q17" s="16"/>
    </row>
    <row r="18" spans="1:30" s="19" customFormat="1" ht="12.75" customHeight="1">
      <c r="A18"/>
      <c r="B18" s="57"/>
      <c r="C18" s="58"/>
      <c r="D18" s="224"/>
      <c r="E18" s="225"/>
      <c r="F18" s="224"/>
      <c r="G18" s="225"/>
      <c r="H18" s="224"/>
      <c r="I18" s="225"/>
      <c r="J18" s="224"/>
      <c r="K18" s="225"/>
      <c r="L18" s="224"/>
      <c r="M18" s="225"/>
      <c r="N18" s="224"/>
      <c r="O18" s="225"/>
      <c r="P18" s="59"/>
      <c r="Q18" s="57"/>
      <c r="R18" s="60"/>
      <c r="T18" s="36"/>
      <c r="U18" s="30"/>
      <c r="V18" s="36"/>
      <c r="W18" s="33"/>
      <c r="X18" s="33"/>
      <c r="Y18" s="33"/>
      <c r="Z18" s="33"/>
      <c r="AA18" s="33"/>
      <c r="AB18" s="33"/>
      <c r="AC18" s="33"/>
      <c r="AD18" s="30"/>
    </row>
    <row r="19" spans="4:27" ht="12.75">
      <c r="D19" s="190"/>
      <c r="F19" s="190"/>
      <c r="H19" s="190"/>
      <c r="J19" s="190"/>
      <c r="L19" s="190"/>
      <c r="N19" s="190"/>
      <c r="Q19" s="16"/>
      <c r="U19" s="55"/>
      <c r="Y19" s="56"/>
      <c r="AA19"/>
    </row>
    <row r="20" spans="4:27" ht="12.75">
      <c r="D20" s="190"/>
      <c r="F20" s="190"/>
      <c r="H20" s="190"/>
      <c r="J20" s="190"/>
      <c r="L20" s="190"/>
      <c r="N20" s="190"/>
      <c r="Q20" s="16"/>
      <c r="U20" s="55"/>
      <c r="Y20" s="56"/>
      <c r="AA20"/>
    </row>
    <row r="21" spans="4:27" ht="12.75">
      <c r="D21" s="190"/>
      <c r="F21" s="190"/>
      <c r="H21" s="190"/>
      <c r="J21" s="190"/>
      <c r="L21" s="190"/>
      <c r="N21" s="190"/>
      <c r="Q21" s="16"/>
      <c r="U21" s="55"/>
      <c r="Y21" s="56"/>
      <c r="AA21"/>
    </row>
    <row r="22" spans="4:27" ht="12.75">
      <c r="D22" s="190"/>
      <c r="F22" s="190"/>
      <c r="H22" s="190"/>
      <c r="J22" s="190"/>
      <c r="L22" s="190"/>
      <c r="N22" s="190"/>
      <c r="Q22" s="16"/>
      <c r="U22" s="55"/>
      <c r="Y22" s="56"/>
      <c r="AA22"/>
    </row>
  </sheetData>
  <sheetProtection/>
  <printOptions/>
  <pageMargins left="0.28" right="0.2" top="0.984251969" bottom="0.984251969" header="0.4921259845" footer="0.4921259845"/>
  <pageSetup fitToHeight="1" fitToWidth="1" horizontalDpi="600" verticalDpi="600" orientation="landscape" paperSize="9" scale="60" r:id="rId1"/>
  <headerFooter alignWithMargins="0">
    <oddHeader>&amp;L"FR NL UK VAC trimestrielle.xls"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P22"/>
  <sheetViews>
    <sheetView showGridLines="0" zoomScale="90" zoomScaleNormal="90" zoomScalePageLayoutView="0" workbookViewId="0" topLeftCell="A1">
      <selection activeCell="C52" sqref="C52"/>
    </sheetView>
  </sheetViews>
  <sheetFormatPr defaultColWidth="11.421875" defaultRowHeight="12.75"/>
  <cols>
    <col min="1" max="1" width="28.140625" style="0" bestFit="1" customWidth="1"/>
    <col min="2" max="2" width="35.8515625" style="0" bestFit="1" customWidth="1"/>
    <col min="3" max="3" width="32.00390625" style="0" bestFit="1" customWidth="1"/>
    <col min="4" max="4" width="11.57421875" style="191" customWidth="1"/>
    <col min="5" max="5" width="12.421875" style="203" customWidth="1"/>
    <col min="6" max="6" width="11.57421875" style="191" customWidth="1"/>
    <col min="7" max="7" width="12.421875" style="203" customWidth="1"/>
    <col min="8" max="8" width="11.57421875" style="191" customWidth="1"/>
    <col min="9" max="9" width="12.421875" style="203" customWidth="1"/>
    <col min="10" max="10" width="11.57421875" style="191" customWidth="1"/>
    <col min="11" max="11" width="12.421875" style="203" customWidth="1"/>
    <col min="12" max="12" width="11.57421875" style="191" customWidth="1"/>
    <col min="13" max="13" width="12.421875" style="203" customWidth="1"/>
    <col min="14" max="14" width="11.57421875" style="191" customWidth="1"/>
    <col min="15" max="15" width="12.421875" style="203" customWidth="1"/>
    <col min="16" max="16" width="12.421875" style="0" customWidth="1"/>
    <col min="17" max="17" width="11.421875" style="54" customWidth="1"/>
    <col min="18" max="18" width="11.421875" style="0" customWidth="1"/>
    <col min="19" max="19" width="9.140625" style="54" hidden="1" customWidth="1"/>
    <col min="20" max="20" width="9.140625" style="0" hidden="1" customWidth="1"/>
    <col min="21" max="21" width="9.140625" style="54" hidden="1" customWidth="1"/>
    <col min="22" max="22" width="9.140625" style="0" hidden="1" customWidth="1"/>
    <col min="23" max="23" width="11.57421875" style="55" hidden="1" customWidth="1"/>
    <col min="24" max="24" width="9.140625" style="0" hidden="1" customWidth="1"/>
    <col min="25" max="25" width="9.140625" style="55" hidden="1" customWidth="1"/>
    <col min="26" max="26" width="9.140625" style="0" hidden="1" customWidth="1"/>
    <col min="27" max="27" width="11.57421875" style="56" hidden="1" customWidth="1"/>
    <col min="28" max="30" width="9.140625" style="0" hidden="1" customWidth="1"/>
    <col min="31" max="34" width="11.421875" style="0" hidden="1" customWidth="1"/>
    <col min="35" max="35" width="11.421875" style="0" customWidth="1"/>
    <col min="36" max="37" width="9.140625" style="0" hidden="1" customWidth="1"/>
  </cols>
  <sheetData>
    <row r="1" spans="1:37" s="87" customFormat="1" ht="12.75">
      <c r="A1" s="79" t="s">
        <v>0</v>
      </c>
      <c r="B1" s="79" t="s">
        <v>1</v>
      </c>
      <c r="C1" s="79" t="s">
        <v>2</v>
      </c>
      <c r="D1" s="144"/>
      <c r="E1" s="256">
        <v>40543</v>
      </c>
      <c r="F1" s="144"/>
      <c r="G1" s="256">
        <v>40480</v>
      </c>
      <c r="H1" s="144"/>
      <c r="I1" s="256">
        <v>40382</v>
      </c>
      <c r="J1" s="144"/>
      <c r="K1" s="256">
        <v>40298</v>
      </c>
      <c r="L1" s="144"/>
      <c r="M1" s="256">
        <v>40235</v>
      </c>
      <c r="N1" s="144"/>
      <c r="O1" s="256">
        <v>40178</v>
      </c>
      <c r="P1" s="88"/>
      <c r="Q1" s="89"/>
      <c r="R1" s="88"/>
      <c r="S1" s="82"/>
      <c r="T1" s="81">
        <v>36420</v>
      </c>
      <c r="U1" s="82"/>
      <c r="V1" s="81">
        <v>36341</v>
      </c>
      <c r="W1" s="81"/>
      <c r="X1" s="81">
        <v>36231</v>
      </c>
      <c r="Y1" s="81"/>
      <c r="Z1" s="81">
        <v>36160</v>
      </c>
      <c r="AA1" s="83"/>
      <c r="AB1" s="81">
        <v>36052</v>
      </c>
      <c r="AC1" s="84" t="s">
        <v>3</v>
      </c>
      <c r="AD1" s="85">
        <v>35976</v>
      </c>
      <c r="AE1" s="84" t="s">
        <v>3</v>
      </c>
      <c r="AF1" s="85">
        <v>35884</v>
      </c>
      <c r="AG1" s="86" t="s">
        <v>3</v>
      </c>
      <c r="AH1" s="85">
        <v>35795</v>
      </c>
      <c r="AJ1" s="87">
        <v>40.3399</v>
      </c>
      <c r="AK1" s="87">
        <v>6.55957</v>
      </c>
    </row>
    <row r="2" spans="1:34" s="11" customFormat="1" ht="12.75">
      <c r="A2" s="1" t="s">
        <v>92</v>
      </c>
      <c r="B2" s="1" t="str">
        <f>A2</f>
        <v>Iberdrola</v>
      </c>
      <c r="C2" s="1" t="str">
        <f aca="true" t="shared" si="0" ref="C2:C9">A2</f>
        <v>Iberdrola</v>
      </c>
      <c r="D2" s="149">
        <v>5.77</v>
      </c>
      <c r="E2" s="193">
        <v>181</v>
      </c>
      <c r="F2" s="149">
        <v>6.06</v>
      </c>
      <c r="G2" s="193">
        <v>191</v>
      </c>
      <c r="H2" s="149">
        <v>5.3</v>
      </c>
      <c r="I2" s="193">
        <v>167</v>
      </c>
      <c r="J2" s="149">
        <v>5.99</v>
      </c>
      <c r="K2" s="193">
        <v>188</v>
      </c>
      <c r="L2" s="149">
        <v>5.91</v>
      </c>
      <c r="M2" s="193">
        <v>186</v>
      </c>
      <c r="N2" s="149">
        <v>6.67</v>
      </c>
      <c r="O2" s="193">
        <v>209.63</v>
      </c>
      <c r="P2" s="3"/>
      <c r="Q2" s="77"/>
      <c r="R2" s="78"/>
      <c r="S2" s="5"/>
      <c r="T2" s="6"/>
      <c r="U2" s="5"/>
      <c r="V2" s="6"/>
      <c r="W2" s="6"/>
      <c r="X2" s="6"/>
      <c r="Y2" s="6"/>
      <c r="Z2" s="6"/>
      <c r="AA2" s="7"/>
      <c r="AB2" s="6"/>
      <c r="AC2" s="8"/>
      <c r="AD2" s="9"/>
      <c r="AE2" s="8"/>
      <c r="AF2" s="9"/>
      <c r="AG2" s="10"/>
      <c r="AH2" s="9"/>
    </row>
    <row r="3" spans="1:35" s="19" customFormat="1" ht="12.75">
      <c r="A3" s="1" t="s">
        <v>86</v>
      </c>
      <c r="B3" s="1" t="str">
        <f>A3</f>
        <v>Pernod Ricard</v>
      </c>
      <c r="C3" s="1" t="str">
        <f t="shared" si="0"/>
        <v>Pernod Ricard</v>
      </c>
      <c r="D3" s="149">
        <v>70.36</v>
      </c>
      <c r="E3" s="194">
        <v>1836</v>
      </c>
      <c r="F3" s="149">
        <v>63.71</v>
      </c>
      <c r="G3" s="194">
        <v>1662</v>
      </c>
      <c r="H3" s="149">
        <v>62.61</v>
      </c>
      <c r="I3" s="194">
        <v>1623</v>
      </c>
      <c r="J3" s="149">
        <v>63.95</v>
      </c>
      <c r="K3" s="194">
        <v>1593</v>
      </c>
      <c r="L3" s="149">
        <v>55.33</v>
      </c>
      <c r="M3" s="194">
        <v>1351</v>
      </c>
      <c r="N3" s="149">
        <v>59.91</v>
      </c>
      <c r="O3" s="194">
        <v>1444.39</v>
      </c>
      <c r="P3" s="13"/>
      <c r="Q3" s="14"/>
      <c r="R3" s="15"/>
      <c r="S3" s="14">
        <v>48.35</v>
      </c>
      <c r="T3" s="15">
        <v>1302</v>
      </c>
      <c r="U3" s="14">
        <v>46.55</v>
      </c>
      <c r="V3" s="15">
        <v>1242</v>
      </c>
      <c r="W3" s="16">
        <v>37.45</v>
      </c>
      <c r="X3" s="15">
        <v>991</v>
      </c>
      <c r="Y3" s="17">
        <f>1550/AJ1</f>
        <v>38.42349633985211</v>
      </c>
      <c r="Z3" s="18">
        <f>40072/AJ1</f>
        <v>993.3589324713249</v>
      </c>
      <c r="AA3" s="17">
        <f>1498/AJ1</f>
        <v>37.13445001103126</v>
      </c>
      <c r="AB3" s="18">
        <f>38499/AJ1</f>
        <v>954.3652810244944</v>
      </c>
      <c r="AC3" s="17">
        <f>1520/AJ1</f>
        <v>37.67981576553239</v>
      </c>
      <c r="AD3" s="18">
        <f>38837/AJ1</f>
        <v>962.7440821618299</v>
      </c>
      <c r="AE3" s="17">
        <f>1510/AJ1</f>
        <v>37.43192224075915</v>
      </c>
      <c r="AF3" s="18">
        <f>26966/AJ1</f>
        <v>668.4696789035173</v>
      </c>
      <c r="AG3" s="4">
        <f>1510/AJ1</f>
        <v>37.43192224075915</v>
      </c>
      <c r="AH3" s="18">
        <f>25184/AJ1</f>
        <v>624.2950527889261</v>
      </c>
      <c r="AI3" s="12" t="s">
        <v>6</v>
      </c>
    </row>
    <row r="4" spans="1:172" s="29" customFormat="1" ht="12.75">
      <c r="A4" s="1" t="s">
        <v>93</v>
      </c>
      <c r="B4" s="1" t="s">
        <v>93</v>
      </c>
      <c r="C4" s="1" t="str">
        <f t="shared" si="0"/>
        <v>GDF SUEZ</v>
      </c>
      <c r="D4" s="149">
        <v>26.85</v>
      </c>
      <c r="E4" s="209">
        <v>3146</v>
      </c>
      <c r="F4" s="149">
        <v>28.68</v>
      </c>
      <c r="G4" s="209">
        <v>3361</v>
      </c>
      <c r="H4" s="149">
        <v>25.31</v>
      </c>
      <c r="I4" s="209">
        <v>2966</v>
      </c>
      <c r="J4" s="149">
        <v>26.8</v>
      </c>
      <c r="K4" s="209">
        <v>3140</v>
      </c>
      <c r="L4" s="149">
        <v>26.97</v>
      </c>
      <c r="M4" s="209">
        <v>3160</v>
      </c>
      <c r="N4" s="149">
        <v>30.29</v>
      </c>
      <c r="O4" s="209">
        <v>3548.91</v>
      </c>
      <c r="P4" s="21"/>
      <c r="Q4" s="22"/>
      <c r="R4" s="23"/>
      <c r="S4" s="24"/>
      <c r="T4" s="25"/>
      <c r="U4" s="24"/>
      <c r="V4" s="25"/>
      <c r="W4" s="26"/>
      <c r="X4" s="25"/>
      <c r="Y4" s="27"/>
      <c r="Z4" s="28"/>
      <c r="AA4" s="27"/>
      <c r="AB4" s="28"/>
      <c r="AC4" s="27"/>
      <c r="AD4" s="28"/>
      <c r="AE4" s="27"/>
      <c r="AF4" s="28"/>
      <c r="AG4" s="27"/>
      <c r="AH4" s="28"/>
      <c r="AI4" s="28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</row>
    <row r="5" spans="1:172" s="29" customFormat="1" ht="12.75">
      <c r="A5" s="1" t="s">
        <v>94</v>
      </c>
      <c r="B5" s="1" t="s">
        <v>94</v>
      </c>
      <c r="C5" s="1" t="str">
        <f t="shared" si="0"/>
        <v>Suez Environnement</v>
      </c>
      <c r="D5" s="149">
        <v>15.45</v>
      </c>
      <c r="E5" s="209">
        <v>541</v>
      </c>
      <c r="F5" s="149">
        <v>14.05</v>
      </c>
      <c r="G5" s="209">
        <v>492</v>
      </c>
      <c r="H5" s="149">
        <v>14.45</v>
      </c>
      <c r="I5" s="209">
        <v>506</v>
      </c>
      <c r="J5" s="149">
        <v>16.31</v>
      </c>
      <c r="K5" s="209">
        <v>571</v>
      </c>
      <c r="L5" s="149">
        <v>16.17</v>
      </c>
      <c r="M5" s="209">
        <v>566</v>
      </c>
      <c r="N5" s="149">
        <v>16.13</v>
      </c>
      <c r="O5" s="209">
        <v>564.38</v>
      </c>
      <c r="P5" s="21"/>
      <c r="Q5" s="22"/>
      <c r="R5" s="23"/>
      <c r="S5" s="24"/>
      <c r="T5" s="25"/>
      <c r="U5" s="24"/>
      <c r="V5" s="25"/>
      <c r="W5" s="26"/>
      <c r="X5" s="25"/>
      <c r="Y5" s="27"/>
      <c r="Z5" s="28"/>
      <c r="AA5" s="27"/>
      <c r="AB5" s="28"/>
      <c r="AC5" s="27"/>
      <c r="AD5" s="28"/>
      <c r="AE5" s="27"/>
      <c r="AF5" s="28"/>
      <c r="AG5" s="27"/>
      <c r="AH5" s="28"/>
      <c r="AI5" s="28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</row>
    <row r="6" spans="1:35" s="19" customFormat="1" ht="12.75">
      <c r="A6" s="30" t="s">
        <v>83</v>
      </c>
      <c r="B6" s="1" t="str">
        <f>A6</f>
        <v>Total</v>
      </c>
      <c r="C6" s="1" t="str">
        <f t="shared" si="0"/>
        <v>Total</v>
      </c>
      <c r="D6" s="155">
        <v>39.65</v>
      </c>
      <c r="E6" s="196">
        <v>3725</v>
      </c>
      <c r="F6" s="155">
        <v>39.05</v>
      </c>
      <c r="G6" s="196">
        <v>3668</v>
      </c>
      <c r="H6" s="155">
        <v>38.14</v>
      </c>
      <c r="I6" s="196">
        <v>3583</v>
      </c>
      <c r="J6" s="155">
        <v>40.97</v>
      </c>
      <c r="K6" s="196">
        <v>3849</v>
      </c>
      <c r="L6" s="155">
        <v>40.98</v>
      </c>
      <c r="M6" s="196">
        <v>3850</v>
      </c>
      <c r="N6" s="155">
        <v>45.01</v>
      </c>
      <c r="O6" s="196">
        <v>4227.79</v>
      </c>
      <c r="P6" s="31"/>
      <c r="Q6" s="14"/>
      <c r="R6" s="15"/>
      <c r="S6" s="14">
        <v>120.9</v>
      </c>
      <c r="T6" s="15">
        <v>2351</v>
      </c>
      <c r="U6" s="14">
        <v>125.1</v>
      </c>
      <c r="V6" s="15">
        <v>2399</v>
      </c>
      <c r="W6" s="32">
        <f>460.3/4.5</f>
        <v>102.28888888888889</v>
      </c>
      <c r="X6" s="15">
        <v>1921</v>
      </c>
      <c r="Y6" s="17">
        <v>86.76</v>
      </c>
      <c r="Z6" s="18">
        <v>1590</v>
      </c>
      <c r="AA6" s="17" t="e">
        <f>12875/(#REF!*4.5)</f>
        <v>#REF!</v>
      </c>
      <c r="AB6" s="18" t="e">
        <f>52109/#REF!</f>
        <v>#REF!</v>
      </c>
      <c r="AC6" s="17" t="e">
        <f>15275/(#REF!*4.5)</f>
        <v>#REF!</v>
      </c>
      <c r="AD6" s="18" t="e">
        <f>61445/#REF!</f>
        <v>#REF!</v>
      </c>
      <c r="AE6" s="17" t="e">
        <f>13950/#REF!</f>
        <v>#REF!</v>
      </c>
      <c r="AF6" s="18" t="e">
        <f>38455/#REF!</f>
        <v>#REF!</v>
      </c>
      <c r="AG6" s="4" t="e">
        <f>13675/#REF!</f>
        <v>#REF!</v>
      </c>
      <c r="AH6" s="18" t="e">
        <f>35072/#REF!</f>
        <v>#REF!</v>
      </c>
      <c r="AI6" s="30" t="s">
        <v>6</v>
      </c>
    </row>
    <row r="7" spans="1:35" s="19" customFormat="1" ht="12.75">
      <c r="A7" s="30" t="s">
        <v>88</v>
      </c>
      <c r="B7" s="1" t="str">
        <f>A7</f>
        <v>Imerys </v>
      </c>
      <c r="C7" s="1" t="str">
        <f t="shared" si="0"/>
        <v>Imerys </v>
      </c>
      <c r="D7" s="155">
        <v>49.89</v>
      </c>
      <c r="E7" s="196">
        <v>1157</v>
      </c>
      <c r="F7" s="155">
        <v>42.88</v>
      </c>
      <c r="G7" s="196">
        <v>995</v>
      </c>
      <c r="H7" s="155">
        <v>45.25</v>
      </c>
      <c r="I7" s="196">
        <v>1046</v>
      </c>
      <c r="J7" s="155">
        <v>46.23</v>
      </c>
      <c r="K7" s="196">
        <v>1068</v>
      </c>
      <c r="L7" s="155">
        <v>37.89</v>
      </c>
      <c r="M7" s="196">
        <v>876</v>
      </c>
      <c r="N7" s="155">
        <v>42.02</v>
      </c>
      <c r="O7" s="196">
        <v>971.16</v>
      </c>
      <c r="P7" s="31"/>
      <c r="Q7" s="14"/>
      <c r="R7" s="18"/>
      <c r="S7" s="14">
        <v>159.9</v>
      </c>
      <c r="T7" s="18">
        <v>2134</v>
      </c>
      <c r="U7" s="14">
        <v>174.9</v>
      </c>
      <c r="V7" s="18">
        <v>2278</v>
      </c>
      <c r="W7" s="17">
        <v>173.2</v>
      </c>
      <c r="X7" s="18">
        <v>2197</v>
      </c>
      <c r="Y7" s="17">
        <f>1148/AK1</f>
        <v>175.0114717885471</v>
      </c>
      <c r="Z7" s="18">
        <f>85728/AJ1</f>
        <v>2125.1416091760266</v>
      </c>
      <c r="AA7" s="17">
        <f>1029/AK1</f>
        <v>156.8700387372953</v>
      </c>
      <c r="AB7" s="18">
        <f>76396/AJ1</f>
        <v>1893.8073718576397</v>
      </c>
      <c r="AC7" s="17">
        <f>995/AK1</f>
        <v>151.68677215122332</v>
      </c>
      <c r="AD7" s="18">
        <f>73440/AJ1</f>
        <v>1820.5300459346702</v>
      </c>
      <c r="AE7" s="17">
        <f>889/AK1</f>
        <v>135.52717632405782</v>
      </c>
      <c r="AF7" s="18">
        <f>41140/AJ1</f>
        <v>1019.8339609171069</v>
      </c>
      <c r="AG7" s="4">
        <f>666/AK1</f>
        <v>101.53104548011531</v>
      </c>
      <c r="AH7" s="18">
        <f>28071/AJ1</f>
        <v>695.8619133909604</v>
      </c>
      <c r="AI7" s="30" t="s">
        <v>6</v>
      </c>
    </row>
    <row r="8" spans="1:35" s="19" customFormat="1" ht="12.75">
      <c r="A8" s="12" t="s">
        <v>85</v>
      </c>
      <c r="B8" s="1" t="str">
        <f>A8</f>
        <v>Lafarge</v>
      </c>
      <c r="C8" s="1" t="str">
        <f t="shared" si="0"/>
        <v>Lafarge</v>
      </c>
      <c r="D8" s="155">
        <v>46.92</v>
      </c>
      <c r="E8" s="209">
        <v>2830</v>
      </c>
      <c r="F8" s="155">
        <v>41.06</v>
      </c>
      <c r="G8" s="209">
        <v>2476</v>
      </c>
      <c r="H8" s="155">
        <v>43.12</v>
      </c>
      <c r="I8" s="209">
        <v>2600</v>
      </c>
      <c r="J8" s="155">
        <v>55</v>
      </c>
      <c r="K8" s="209">
        <v>3317</v>
      </c>
      <c r="L8" s="155">
        <v>47.63</v>
      </c>
      <c r="M8" s="209">
        <v>2872</v>
      </c>
      <c r="N8" s="155">
        <v>57.81</v>
      </c>
      <c r="O8" s="209">
        <v>3486.43</v>
      </c>
      <c r="P8" s="31"/>
      <c r="Q8" s="14"/>
      <c r="R8" s="15"/>
      <c r="S8" s="14">
        <v>149.1</v>
      </c>
      <c r="T8" s="15">
        <v>624</v>
      </c>
      <c r="U8" s="14">
        <v>144</v>
      </c>
      <c r="V8" s="15">
        <v>603</v>
      </c>
      <c r="W8" s="16">
        <v>99.6</v>
      </c>
      <c r="X8" s="15">
        <v>417</v>
      </c>
      <c r="Y8" s="17">
        <f>560/AK1</f>
        <v>85.37144965294982</v>
      </c>
      <c r="Z8" s="18">
        <f>14416/AJ1</f>
        <v>357.36330531310193</v>
      </c>
      <c r="AA8" s="17">
        <f>563/AK1</f>
        <v>85.82879670466204</v>
      </c>
      <c r="AB8" s="18">
        <f>14484/AJ1</f>
        <v>359.0489812815599</v>
      </c>
      <c r="AC8" s="17">
        <f>831/AK1</f>
        <v>126.68513332428803</v>
      </c>
      <c r="AD8" s="18">
        <f>19136/AJ1</f>
        <v>474.3690490060709</v>
      </c>
      <c r="AE8" s="17">
        <f>818/AK1</f>
        <v>124.7032961002017</v>
      </c>
      <c r="AF8" s="18">
        <f>16662/AJ1</f>
        <v>413.0401909771715</v>
      </c>
      <c r="AG8" s="4">
        <f>748/AK1</f>
        <v>114.03186489358296</v>
      </c>
      <c r="AH8" s="18">
        <f>15243/AJ1</f>
        <v>377.8640998118488</v>
      </c>
      <c r="AI8" s="30" t="s">
        <v>6</v>
      </c>
    </row>
    <row r="9" spans="1:35" s="19" customFormat="1" ht="12.75">
      <c r="A9" s="12" t="s">
        <v>96</v>
      </c>
      <c r="B9" s="1" t="str">
        <f>A9</f>
        <v>Arkema</v>
      </c>
      <c r="C9" s="1" t="str">
        <f t="shared" si="0"/>
        <v>Arkema</v>
      </c>
      <c r="D9" s="155">
        <v>53.87</v>
      </c>
      <c r="E9" s="221">
        <v>166</v>
      </c>
      <c r="F9" s="253"/>
      <c r="G9" s="221"/>
      <c r="H9" s="253"/>
      <c r="I9" s="221"/>
      <c r="J9" s="253"/>
      <c r="K9" s="221"/>
      <c r="L9" s="253"/>
      <c r="M9" s="221"/>
      <c r="N9" s="253"/>
      <c r="O9" s="221"/>
      <c r="P9" s="31"/>
      <c r="Q9" s="14"/>
      <c r="R9" s="18"/>
      <c r="S9" s="33"/>
      <c r="T9" s="33" t="s">
        <v>16</v>
      </c>
      <c r="U9" s="34"/>
      <c r="V9" s="33" t="s">
        <v>16</v>
      </c>
      <c r="W9" s="35"/>
      <c r="X9" s="33" t="s">
        <v>16</v>
      </c>
      <c r="Y9" s="36"/>
      <c r="Z9" s="33" t="s">
        <v>16</v>
      </c>
      <c r="AA9" s="36"/>
      <c r="AB9" s="33"/>
      <c r="AC9" s="36"/>
      <c r="AD9" s="33"/>
      <c r="AE9" s="36"/>
      <c r="AF9" s="18"/>
      <c r="AG9" s="37"/>
      <c r="AH9" s="18"/>
      <c r="AI9" s="30"/>
    </row>
    <row r="10" spans="1:35" s="19" customFormat="1" ht="12.75">
      <c r="A10" s="30" t="s">
        <v>17</v>
      </c>
      <c r="B10" s="30" t="s">
        <v>18</v>
      </c>
      <c r="C10" s="30" t="s">
        <v>19</v>
      </c>
      <c r="D10" s="149"/>
      <c r="E10" s="196">
        <v>233</v>
      </c>
      <c r="F10" s="149"/>
      <c r="G10" s="196">
        <v>305</v>
      </c>
      <c r="H10" s="149"/>
      <c r="I10" s="196">
        <v>262</v>
      </c>
      <c r="J10" s="149"/>
      <c r="K10" s="196">
        <v>241</v>
      </c>
      <c r="L10" s="149"/>
      <c r="M10" s="196">
        <v>209</v>
      </c>
      <c r="N10" s="149"/>
      <c r="O10" s="196">
        <v>212</v>
      </c>
      <c r="P10" s="31"/>
      <c r="Q10" s="14"/>
      <c r="R10" s="15"/>
      <c r="S10" s="34"/>
      <c r="T10" s="15">
        <v>266</v>
      </c>
      <c r="U10" s="34"/>
      <c r="V10" s="15">
        <v>257</v>
      </c>
      <c r="W10" s="35"/>
      <c r="X10" s="15">
        <f>25+190</f>
        <v>215</v>
      </c>
      <c r="Y10" s="36" t="s">
        <v>3</v>
      </c>
      <c r="Z10" s="18">
        <f>7517/AJ1+1</f>
        <v>187.34156257204407</v>
      </c>
      <c r="AA10" s="36" t="s">
        <v>3</v>
      </c>
      <c r="AB10" s="18">
        <f>10221/AJ1</f>
        <v>253.371971670728</v>
      </c>
      <c r="AC10" s="36" t="s">
        <v>6</v>
      </c>
      <c r="AD10" s="18">
        <f>13264/AJ1</f>
        <v>328.80597125922475</v>
      </c>
      <c r="AE10" s="36" t="s">
        <v>6</v>
      </c>
      <c r="AF10" s="18">
        <f>15670/AJ1+1</f>
        <v>389.44915331966615</v>
      </c>
      <c r="AG10" s="37" t="s">
        <v>6</v>
      </c>
      <c r="AH10" s="18">
        <f>22978/AJ1</f>
        <v>569.6097412239495</v>
      </c>
      <c r="AI10" s="30" t="s">
        <v>6</v>
      </c>
    </row>
    <row r="11" spans="1:35" s="40" customFormat="1" ht="25.5">
      <c r="A11" s="38" t="s">
        <v>95</v>
      </c>
      <c r="B11" s="38" t="s">
        <v>90</v>
      </c>
      <c r="C11" s="38" t="s">
        <v>91</v>
      </c>
      <c r="D11" s="252"/>
      <c r="E11" s="196">
        <v>509</v>
      </c>
      <c r="F11" s="252"/>
      <c r="G11" s="196">
        <v>376</v>
      </c>
      <c r="H11" s="252"/>
      <c r="I11" s="196">
        <v>373</v>
      </c>
      <c r="J11" s="252"/>
      <c r="K11" s="196">
        <v>114</v>
      </c>
      <c r="L11" s="252"/>
      <c r="M11" s="196">
        <v>541</v>
      </c>
      <c r="N11" s="252"/>
      <c r="O11" s="196">
        <v>568.49</v>
      </c>
      <c r="P11" s="31"/>
      <c r="Q11" s="14"/>
      <c r="R11" s="15"/>
      <c r="S11" s="39"/>
      <c r="T11" s="40">
        <v>392</v>
      </c>
      <c r="U11" s="39"/>
      <c r="V11" s="40">
        <v>414</v>
      </c>
      <c r="W11" s="41"/>
      <c r="X11" s="40">
        <v>527</v>
      </c>
      <c r="Y11" s="42" t="s">
        <v>3</v>
      </c>
      <c r="Z11" s="42">
        <f>24308/AJ1</f>
        <v>602.5795800187904</v>
      </c>
      <c r="AA11" s="42" t="s">
        <v>3</v>
      </c>
      <c r="AB11" s="42">
        <f>22554/AJ1</f>
        <v>559.0990557735641</v>
      </c>
      <c r="AC11" s="42" t="s">
        <v>6</v>
      </c>
      <c r="AD11" s="42">
        <f>29104/AJ1</f>
        <v>721.4693145000359</v>
      </c>
      <c r="AE11" s="42" t="s">
        <v>6</v>
      </c>
      <c r="AF11" s="42">
        <f>48989/AJ1+1</f>
        <v>1215.4055885116225</v>
      </c>
      <c r="AG11" s="38" t="s">
        <v>6</v>
      </c>
      <c r="AH11" s="42">
        <f>37124/AJ1+1</f>
        <v>921.279921368174</v>
      </c>
      <c r="AI11" s="38" t="s">
        <v>6</v>
      </c>
    </row>
    <row r="12" spans="1:37" s="243" customFormat="1" ht="12.75">
      <c r="A12" s="113" t="s">
        <v>25</v>
      </c>
      <c r="B12" s="113" t="s">
        <v>26</v>
      </c>
      <c r="C12" s="113" t="s">
        <v>27</v>
      </c>
      <c r="D12" s="257"/>
      <c r="E12" s="231">
        <f>SUM(E2:E11)</f>
        <v>14324</v>
      </c>
      <c r="F12" s="257"/>
      <c r="G12" s="231">
        <f>SUM(G2:G11)</f>
        <v>13526</v>
      </c>
      <c r="H12" s="257"/>
      <c r="I12" s="231">
        <f>SUM(I2:I11)</f>
        <v>13126</v>
      </c>
      <c r="J12" s="257"/>
      <c r="K12" s="231">
        <f>SUM(K2:K11)</f>
        <v>14081</v>
      </c>
      <c r="L12" s="257"/>
      <c r="M12" s="231">
        <f>SUM(M2:M11)</f>
        <v>13611</v>
      </c>
      <c r="N12" s="257"/>
      <c r="O12" s="231">
        <v>15232</v>
      </c>
      <c r="P12" s="143"/>
      <c r="Q12" s="242"/>
      <c r="R12" s="43"/>
      <c r="S12" s="127"/>
      <c r="T12" s="43" t="e">
        <f>SUM(T3:T7:#REF!)-#REF!-T4</f>
        <v>#REF!</v>
      </c>
      <c r="U12" s="127"/>
      <c r="V12" s="43" t="e">
        <f>SUM(V3:V7:#REF!)-#REF!-V4</f>
        <v>#REF!</v>
      </c>
      <c r="W12" s="239"/>
      <c r="X12" s="43" t="e">
        <f>SUM(X3:X7:#REF!)-#REF!-X4</f>
        <v>#REF!</v>
      </c>
      <c r="Y12" s="47" t="s">
        <v>3</v>
      </c>
      <c r="Z12" s="43" t="e">
        <f>SUM(Z3:Z7:#REF!)-#REF!-Z4-1</f>
        <v>#REF!</v>
      </c>
      <c r="AA12" s="47" t="s">
        <v>3</v>
      </c>
      <c r="AB12" s="43">
        <f>SUM(AB7:AB11)</f>
        <v>3065.3273805834915</v>
      </c>
      <c r="AC12" s="47" t="s">
        <v>6</v>
      </c>
      <c r="AD12" s="43">
        <f>SUM(AD7:AD11)</f>
        <v>3345.174380700002</v>
      </c>
      <c r="AE12" s="47" t="s">
        <v>6</v>
      </c>
      <c r="AF12" s="43">
        <f>SUM(AF7:AF11)-2</f>
        <v>3035.728893725567</v>
      </c>
      <c r="AG12" s="240" t="s">
        <v>6</v>
      </c>
      <c r="AH12" s="43">
        <f>SUM(AH7:AH11)-1</f>
        <v>2563.615675794933</v>
      </c>
      <c r="AI12" s="126" t="s">
        <v>6</v>
      </c>
      <c r="AJ12" s="243">
        <f>236182/AJ1</f>
        <v>5854.798846799323</v>
      </c>
      <c r="AK12" s="243">
        <f>214263/AJ1</f>
        <v>5311.441029848859</v>
      </c>
    </row>
    <row r="13" spans="1:35" s="121" customFormat="1" ht="25.5" customHeight="1">
      <c r="A13" s="118" t="s">
        <v>28</v>
      </c>
      <c r="B13" s="118" t="s">
        <v>29</v>
      </c>
      <c r="C13" s="118" t="s">
        <v>30</v>
      </c>
      <c r="D13" s="258"/>
      <c r="E13" s="198">
        <v>88.77</v>
      </c>
      <c r="F13" s="258"/>
      <c r="G13" s="198">
        <v>83.82</v>
      </c>
      <c r="H13" s="258"/>
      <c r="I13" s="198">
        <v>81.35</v>
      </c>
      <c r="J13" s="258"/>
      <c r="K13" s="198">
        <v>87.27</v>
      </c>
      <c r="L13" s="258"/>
      <c r="M13" s="198">
        <v>84.35</v>
      </c>
      <c r="N13" s="258"/>
      <c r="O13" s="198">
        <v>94.4</v>
      </c>
      <c r="P13" s="142"/>
      <c r="Q13" s="261"/>
      <c r="R13" s="47"/>
      <c r="S13" s="120"/>
      <c r="T13" s="47">
        <v>289.33</v>
      </c>
      <c r="U13" s="120"/>
      <c r="V13" s="47">
        <v>256.53</v>
      </c>
      <c r="W13" s="239"/>
      <c r="X13" s="47">
        <v>256.53</v>
      </c>
      <c r="Y13" s="47" t="s">
        <v>3</v>
      </c>
      <c r="Z13" s="47">
        <v>239.64</v>
      </c>
      <c r="AA13" s="47" t="s">
        <v>3</v>
      </c>
      <c r="AB13" s="47">
        <v>217.47</v>
      </c>
      <c r="AC13" s="47"/>
      <c r="AD13" s="47">
        <v>238.97</v>
      </c>
      <c r="AE13" s="47" t="s">
        <v>6</v>
      </c>
      <c r="AF13" s="47">
        <v>206.87</v>
      </c>
      <c r="AG13" s="240" t="s">
        <v>6</v>
      </c>
      <c r="AH13" s="47">
        <v>178.36</v>
      </c>
      <c r="AI13" s="240" t="s">
        <v>6</v>
      </c>
    </row>
    <row r="14" spans="1:35" s="121" customFormat="1" ht="12.75">
      <c r="A14" s="118" t="s">
        <v>31</v>
      </c>
      <c r="B14" s="118" t="s">
        <v>32</v>
      </c>
      <c r="C14" s="118" t="s">
        <v>33</v>
      </c>
      <c r="D14" s="258"/>
      <c r="E14" s="199">
        <v>62.93</v>
      </c>
      <c r="F14" s="258"/>
      <c r="G14" s="199">
        <v>63.63</v>
      </c>
      <c r="H14" s="258"/>
      <c r="I14" s="199">
        <v>58.92</v>
      </c>
      <c r="J14" s="258"/>
      <c r="K14" s="199">
        <v>63.72</v>
      </c>
      <c r="L14" s="258"/>
      <c r="M14" s="199">
        <v>64.3</v>
      </c>
      <c r="N14" s="258"/>
      <c r="O14" s="199">
        <v>66.05</v>
      </c>
      <c r="P14" s="118"/>
      <c r="Q14" s="120"/>
      <c r="S14" s="120"/>
      <c r="T14" s="121">
        <v>186.9</v>
      </c>
      <c r="U14" s="120"/>
      <c r="V14" s="121">
        <v>163.9</v>
      </c>
      <c r="W14" s="239"/>
      <c r="X14" s="121">
        <v>167.5</v>
      </c>
      <c r="Y14" s="142" t="s">
        <v>3</v>
      </c>
      <c r="Z14" s="142">
        <v>173.53</v>
      </c>
      <c r="AA14" s="142" t="s">
        <v>3</v>
      </c>
      <c r="AB14" s="142">
        <v>160.64</v>
      </c>
      <c r="AC14" s="47" t="s">
        <v>6</v>
      </c>
      <c r="AD14" s="47">
        <v>186.17</v>
      </c>
      <c r="AE14" s="47" t="s">
        <v>6</v>
      </c>
      <c r="AF14" s="47">
        <v>160.64</v>
      </c>
      <c r="AG14" s="240" t="s">
        <v>6</v>
      </c>
      <c r="AH14" s="47">
        <v>132.87</v>
      </c>
      <c r="AI14" s="118" t="s">
        <v>6</v>
      </c>
    </row>
    <row r="15" spans="1:35" s="124" customFormat="1" ht="12.75">
      <c r="A15" s="122"/>
      <c r="B15" s="122"/>
      <c r="C15" s="122"/>
      <c r="D15" s="259"/>
      <c r="E15" s="200"/>
      <c r="F15" s="259"/>
      <c r="G15" s="200"/>
      <c r="H15" s="259"/>
      <c r="I15" s="200"/>
      <c r="J15" s="259"/>
      <c r="K15" s="200"/>
      <c r="L15" s="259"/>
      <c r="M15" s="200"/>
      <c r="N15" s="259"/>
      <c r="O15" s="200"/>
      <c r="P15" s="122"/>
      <c r="Q15" s="125"/>
      <c r="S15" s="125"/>
      <c r="T15" s="124">
        <v>0.354</v>
      </c>
      <c r="U15" s="125"/>
      <c r="V15" s="124">
        <v>0.443</v>
      </c>
      <c r="W15" s="262"/>
      <c r="X15" s="124">
        <v>0.347</v>
      </c>
      <c r="Y15" s="263" t="s">
        <v>3</v>
      </c>
      <c r="Z15" s="263">
        <v>0.276</v>
      </c>
      <c r="AA15" s="263" t="s">
        <v>3</v>
      </c>
      <c r="AB15" s="263">
        <v>0.26</v>
      </c>
      <c r="AC15" s="263" t="s">
        <v>6</v>
      </c>
      <c r="AD15" s="263">
        <v>0.221</v>
      </c>
      <c r="AE15" s="263" t="s">
        <v>6</v>
      </c>
      <c r="AF15" s="263">
        <v>0.224</v>
      </c>
      <c r="AG15" s="122" t="s">
        <v>6</v>
      </c>
      <c r="AH15" s="263">
        <v>0.255</v>
      </c>
      <c r="AI15" s="122" t="s">
        <v>6</v>
      </c>
    </row>
    <row r="16" spans="1:35" s="243" customFormat="1" ht="12.75">
      <c r="A16" s="126" t="s">
        <v>78</v>
      </c>
      <c r="B16" s="126" t="s">
        <v>82</v>
      </c>
      <c r="C16" s="264" t="s">
        <v>81</v>
      </c>
      <c r="D16" s="265"/>
      <c r="E16" s="267">
        <v>161358287</v>
      </c>
      <c r="F16" s="265"/>
      <c r="G16" s="267">
        <v>161358287</v>
      </c>
      <c r="H16" s="266"/>
      <c r="I16" s="267">
        <v>161358287</v>
      </c>
      <c r="J16" s="266"/>
      <c r="K16" s="267">
        <v>161358287</v>
      </c>
      <c r="L16" s="266"/>
      <c r="M16" s="267">
        <v>161358287</v>
      </c>
      <c r="N16" s="265"/>
      <c r="O16" s="267">
        <v>161358287</v>
      </c>
      <c r="P16" s="143"/>
      <c r="Q16" s="242"/>
      <c r="R16" s="43"/>
      <c r="S16" s="127"/>
      <c r="T16" s="43">
        <v>24432025</v>
      </c>
      <c r="U16" s="127"/>
      <c r="V16" s="43">
        <v>24432025</v>
      </c>
      <c r="W16" s="239"/>
      <c r="X16" s="43">
        <v>24432025</v>
      </c>
      <c r="Y16" s="47" t="s">
        <v>3</v>
      </c>
      <c r="Z16" s="43">
        <v>24432025</v>
      </c>
      <c r="AA16" s="47" t="s">
        <v>3</v>
      </c>
      <c r="AB16" s="43">
        <v>24458667</v>
      </c>
      <c r="AC16" s="47" t="s">
        <v>6</v>
      </c>
      <c r="AD16" s="43">
        <v>24402157</v>
      </c>
      <c r="AE16" s="47" t="s">
        <v>6</v>
      </c>
      <c r="AF16" s="43">
        <v>25783578</v>
      </c>
      <c r="AG16" s="240" t="s">
        <v>6</v>
      </c>
      <c r="AH16" s="43">
        <v>25783578</v>
      </c>
      <c r="AI16" s="126" t="s">
        <v>6</v>
      </c>
    </row>
    <row r="17" spans="5:17" ht="12.75">
      <c r="E17" s="221"/>
      <c r="G17" s="221"/>
      <c r="I17" s="221"/>
      <c r="Q17" s="16"/>
    </row>
    <row r="18" spans="1:30" s="19" customFormat="1" ht="12.75" customHeight="1">
      <c r="A18"/>
      <c r="B18" s="57"/>
      <c r="C18" s="58"/>
      <c r="D18" s="224"/>
      <c r="E18" s="225"/>
      <c r="F18" s="224"/>
      <c r="G18" s="225"/>
      <c r="H18" s="224"/>
      <c r="I18" s="225"/>
      <c r="J18" s="224"/>
      <c r="K18" s="225"/>
      <c r="L18" s="224"/>
      <c r="M18" s="225"/>
      <c r="N18" s="224"/>
      <c r="O18" s="225"/>
      <c r="P18" s="59"/>
      <c r="Q18" s="57"/>
      <c r="R18" s="60"/>
      <c r="T18" s="36"/>
      <c r="U18" s="30"/>
      <c r="V18" s="36"/>
      <c r="W18" s="33"/>
      <c r="X18" s="33"/>
      <c r="Y18" s="33"/>
      <c r="Z18" s="33"/>
      <c r="AA18" s="33"/>
      <c r="AB18" s="33"/>
      <c r="AC18" s="33"/>
      <c r="AD18" s="30"/>
    </row>
    <row r="19" spans="4:27" ht="12.75">
      <c r="D19" s="190"/>
      <c r="F19" s="190"/>
      <c r="H19" s="190"/>
      <c r="J19" s="190"/>
      <c r="L19" s="190"/>
      <c r="N19" s="190"/>
      <c r="Q19" s="16"/>
      <c r="U19" s="55"/>
      <c r="Y19" s="56"/>
      <c r="AA19"/>
    </row>
    <row r="20" spans="4:27" ht="12.75">
      <c r="D20" s="190"/>
      <c r="F20" s="190"/>
      <c r="H20" s="190"/>
      <c r="J20" s="190"/>
      <c r="L20" s="190"/>
      <c r="N20" s="190"/>
      <c r="Q20" s="16"/>
      <c r="U20" s="55"/>
      <c r="Y20" s="56"/>
      <c r="AA20"/>
    </row>
    <row r="21" spans="4:27" ht="12.75">
      <c r="D21" s="190"/>
      <c r="F21" s="190"/>
      <c r="H21" s="190"/>
      <c r="J21" s="190"/>
      <c r="L21" s="190"/>
      <c r="N21" s="190"/>
      <c r="Q21" s="16"/>
      <c r="U21" s="55"/>
      <c r="Y21" s="56"/>
      <c r="AA21"/>
    </row>
    <row r="22" spans="4:27" ht="12.75">
      <c r="D22" s="190"/>
      <c r="F22" s="190"/>
      <c r="H22" s="190"/>
      <c r="J22" s="190"/>
      <c r="L22" s="190"/>
      <c r="N22" s="190"/>
      <c r="Q22" s="16"/>
      <c r="U22" s="55"/>
      <c r="Y22" s="56"/>
      <c r="AA22"/>
    </row>
  </sheetData>
  <sheetProtection/>
  <printOptions/>
  <pageMargins left="0.28" right="0.2" top="0.984251969" bottom="0.984251969" header="0.4921259845" footer="0.4921259845"/>
  <pageSetup fitToHeight="1" fitToWidth="1" horizontalDpi="600" verticalDpi="600" orientation="landscape" paperSize="9" scale="60" r:id="rId1"/>
  <headerFooter alignWithMargins="0">
    <oddHeader>&amp;L"FR NL UK VAC trimestrielle.xls"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P22"/>
  <sheetViews>
    <sheetView showGridLines="0" zoomScale="85" zoomScaleNormal="85" zoomScalePageLayoutView="0" workbookViewId="0" topLeftCell="A1">
      <selection activeCell="D53" sqref="D53"/>
    </sheetView>
  </sheetViews>
  <sheetFormatPr defaultColWidth="11.421875" defaultRowHeight="12.75"/>
  <cols>
    <col min="1" max="1" width="28.140625" style="72" bestFit="1" customWidth="1"/>
    <col min="2" max="2" width="35.8515625" style="72" bestFit="1" customWidth="1"/>
    <col min="3" max="3" width="32.00390625" style="0" bestFit="1" customWidth="1"/>
    <col min="4" max="4" width="11.57421875" style="191" customWidth="1"/>
    <col min="5" max="5" width="12.421875" style="203" customWidth="1"/>
    <col min="6" max="6" width="11.57421875" style="191" customWidth="1"/>
    <col min="7" max="7" width="12.421875" style="203" customWidth="1"/>
    <col min="8" max="8" width="11.57421875" style="191" customWidth="1"/>
    <col min="9" max="9" width="12.421875" style="203" customWidth="1"/>
    <col min="10" max="10" width="11.57421875" style="191" customWidth="1"/>
    <col min="11" max="11" width="12.421875" style="203" customWidth="1"/>
    <col min="12" max="12" width="11.57421875" style="191" customWidth="1"/>
    <col min="13" max="13" width="12.421875" style="203" customWidth="1"/>
    <col min="14" max="14" width="11.57421875" style="191" customWidth="1"/>
    <col min="15" max="15" width="12.421875" style="203" customWidth="1"/>
    <col min="16" max="16" width="12.421875" style="0" customWidth="1"/>
    <col min="17" max="17" width="11.421875" style="54" customWidth="1"/>
    <col min="18" max="18" width="11.421875" style="0" customWidth="1"/>
    <col min="19" max="19" width="9.140625" style="54" hidden="1" customWidth="1"/>
    <col min="20" max="20" width="9.140625" style="0" hidden="1" customWidth="1"/>
    <col min="21" max="21" width="9.140625" style="54" hidden="1" customWidth="1"/>
    <col min="22" max="22" width="9.140625" style="0" hidden="1" customWidth="1"/>
    <col min="23" max="23" width="11.57421875" style="55" hidden="1" customWidth="1"/>
    <col min="24" max="24" width="9.140625" style="0" hidden="1" customWidth="1"/>
    <col min="25" max="25" width="9.140625" style="55" hidden="1" customWidth="1"/>
    <col min="26" max="26" width="9.140625" style="0" hidden="1" customWidth="1"/>
    <col min="27" max="27" width="11.57421875" style="56" hidden="1" customWidth="1"/>
    <col min="28" max="30" width="9.140625" style="0" hidden="1" customWidth="1"/>
    <col min="31" max="34" width="11.421875" style="0" hidden="1" customWidth="1"/>
    <col min="35" max="35" width="11.421875" style="0" customWidth="1"/>
    <col min="36" max="37" width="9.140625" style="0" hidden="1" customWidth="1"/>
  </cols>
  <sheetData>
    <row r="1" spans="1:37" s="87" customFormat="1" ht="12.75">
      <c r="A1" s="268" t="s">
        <v>0</v>
      </c>
      <c r="B1" s="268" t="s">
        <v>1</v>
      </c>
      <c r="C1" s="79" t="s">
        <v>2</v>
      </c>
      <c r="D1" s="144"/>
      <c r="E1" s="256">
        <v>40908</v>
      </c>
      <c r="F1" s="144"/>
      <c r="G1" s="256">
        <v>40844</v>
      </c>
      <c r="H1" s="144"/>
      <c r="I1" s="256">
        <v>40746</v>
      </c>
      <c r="J1" s="144"/>
      <c r="K1" s="256">
        <v>40662</v>
      </c>
      <c r="L1" s="144"/>
      <c r="M1" s="256">
        <v>40599</v>
      </c>
      <c r="N1" s="144"/>
      <c r="O1" s="256">
        <v>40543</v>
      </c>
      <c r="P1" s="88"/>
      <c r="Q1" s="89"/>
      <c r="R1" s="88"/>
      <c r="S1" s="82"/>
      <c r="T1" s="81">
        <v>36420</v>
      </c>
      <c r="U1" s="82"/>
      <c r="V1" s="81">
        <v>36341</v>
      </c>
      <c r="W1" s="81"/>
      <c r="X1" s="81">
        <v>36231</v>
      </c>
      <c r="Y1" s="81"/>
      <c r="Z1" s="81">
        <v>36160</v>
      </c>
      <c r="AA1" s="83"/>
      <c r="AB1" s="81">
        <v>36052</v>
      </c>
      <c r="AC1" s="84" t="s">
        <v>3</v>
      </c>
      <c r="AD1" s="85">
        <v>35976</v>
      </c>
      <c r="AE1" s="84" t="s">
        <v>3</v>
      </c>
      <c r="AF1" s="85">
        <v>35884</v>
      </c>
      <c r="AG1" s="86" t="s">
        <v>3</v>
      </c>
      <c r="AH1" s="85">
        <v>35795</v>
      </c>
      <c r="AJ1" s="87">
        <v>40.3399</v>
      </c>
      <c r="AK1" s="87">
        <v>6.55957</v>
      </c>
    </row>
    <row r="2" spans="1:34" s="11" customFormat="1" ht="12.75">
      <c r="A2" s="269" t="s">
        <v>92</v>
      </c>
      <c r="B2" s="269" t="str">
        <f>A2</f>
        <v>Iberdrola</v>
      </c>
      <c r="C2" s="1" t="str">
        <f aca="true" t="shared" si="0" ref="C2:C9">A2</f>
        <v>Iberdrola</v>
      </c>
      <c r="D2" s="149">
        <v>4.84</v>
      </c>
      <c r="E2" s="193">
        <v>69</v>
      </c>
      <c r="F2" s="149"/>
      <c r="G2" s="193"/>
      <c r="H2" s="149">
        <v>5.92</v>
      </c>
      <c r="I2" s="193">
        <v>186</v>
      </c>
      <c r="J2" s="149">
        <v>6.27</v>
      </c>
      <c r="K2" s="193">
        <v>197</v>
      </c>
      <c r="L2" s="149">
        <v>6.29</v>
      </c>
      <c r="M2" s="193">
        <v>198</v>
      </c>
      <c r="N2" s="149">
        <v>5.77</v>
      </c>
      <c r="O2" s="193">
        <v>181</v>
      </c>
      <c r="P2" s="3"/>
      <c r="Q2" s="77"/>
      <c r="R2" s="78"/>
      <c r="S2" s="5"/>
      <c r="T2" s="6"/>
      <c r="U2" s="5"/>
      <c r="V2" s="6"/>
      <c r="W2" s="6"/>
      <c r="X2" s="6"/>
      <c r="Y2" s="6"/>
      <c r="Z2" s="6"/>
      <c r="AA2" s="7"/>
      <c r="AB2" s="6"/>
      <c r="AC2" s="8"/>
      <c r="AD2" s="9"/>
      <c r="AE2" s="8"/>
      <c r="AF2" s="9"/>
      <c r="AG2" s="10"/>
      <c r="AH2" s="9"/>
    </row>
    <row r="3" spans="1:35" s="19" customFormat="1" ht="12.75">
      <c r="A3" s="269" t="s">
        <v>86</v>
      </c>
      <c r="B3" s="269" t="str">
        <f>A3</f>
        <v>Pernod Ricard</v>
      </c>
      <c r="C3" s="1" t="str">
        <f t="shared" si="0"/>
        <v>Pernod Ricard</v>
      </c>
      <c r="D3" s="149">
        <v>71.66</v>
      </c>
      <c r="E3" s="194">
        <v>1870</v>
      </c>
      <c r="F3" s="149">
        <v>68.98</v>
      </c>
      <c r="G3" s="194">
        <v>1800</v>
      </c>
      <c r="H3" s="149">
        <v>69.67</v>
      </c>
      <c r="I3" s="194">
        <v>1818</v>
      </c>
      <c r="J3" s="149">
        <v>67.86</v>
      </c>
      <c r="K3" s="194">
        <v>1771</v>
      </c>
      <c r="L3" s="149">
        <v>66.77</v>
      </c>
      <c r="M3" s="194">
        <v>1742</v>
      </c>
      <c r="N3" s="149">
        <v>70.36</v>
      </c>
      <c r="O3" s="194">
        <v>1836</v>
      </c>
      <c r="P3" s="13"/>
      <c r="Q3" s="14"/>
      <c r="R3" s="15"/>
      <c r="S3" s="14">
        <v>48.35</v>
      </c>
      <c r="T3" s="15">
        <v>1302</v>
      </c>
      <c r="U3" s="14">
        <v>46.55</v>
      </c>
      <c r="V3" s="15">
        <v>1242</v>
      </c>
      <c r="W3" s="16">
        <v>37.45</v>
      </c>
      <c r="X3" s="15">
        <v>991</v>
      </c>
      <c r="Y3" s="17">
        <f>1550/AJ1</f>
        <v>38.42349633985211</v>
      </c>
      <c r="Z3" s="18">
        <f>40072/AJ1</f>
        <v>993.3589324713249</v>
      </c>
      <c r="AA3" s="17">
        <f>1498/AJ1</f>
        <v>37.13445001103126</v>
      </c>
      <c r="AB3" s="18">
        <f>38499/AJ1</f>
        <v>954.3652810244944</v>
      </c>
      <c r="AC3" s="17">
        <f>1520/AJ1</f>
        <v>37.67981576553239</v>
      </c>
      <c r="AD3" s="18">
        <f>38837/AJ1</f>
        <v>962.7440821618299</v>
      </c>
      <c r="AE3" s="17">
        <f>1510/AJ1</f>
        <v>37.43192224075915</v>
      </c>
      <c r="AF3" s="18">
        <f>26966/AJ1</f>
        <v>668.4696789035173</v>
      </c>
      <c r="AG3" s="4">
        <f>1510/AJ1</f>
        <v>37.43192224075915</v>
      </c>
      <c r="AH3" s="18">
        <f>25184/AJ1</f>
        <v>624.2950527889261</v>
      </c>
      <c r="AI3" s="12" t="s">
        <v>6</v>
      </c>
    </row>
    <row r="4" spans="1:172" s="29" customFormat="1" ht="12.75">
      <c r="A4" s="269" t="s">
        <v>93</v>
      </c>
      <c r="B4" s="269" t="s">
        <v>93</v>
      </c>
      <c r="C4" s="1" t="str">
        <f t="shared" si="0"/>
        <v>GDF SUEZ</v>
      </c>
      <c r="D4" s="149">
        <v>21.12</v>
      </c>
      <c r="E4" s="209">
        <v>2475</v>
      </c>
      <c r="F4" s="149">
        <v>21.76</v>
      </c>
      <c r="G4" s="209">
        <v>2550</v>
      </c>
      <c r="H4" s="149">
        <v>23.94</v>
      </c>
      <c r="I4" s="209">
        <v>2805</v>
      </c>
      <c r="J4" s="149">
        <v>27.63</v>
      </c>
      <c r="K4" s="209">
        <v>3237</v>
      </c>
      <c r="L4" s="149">
        <v>29.07</v>
      </c>
      <c r="M4" s="209">
        <v>3406</v>
      </c>
      <c r="N4" s="149">
        <v>26.85</v>
      </c>
      <c r="O4" s="209">
        <v>3146</v>
      </c>
      <c r="P4" s="21"/>
      <c r="Q4" s="22"/>
      <c r="R4" s="23"/>
      <c r="S4" s="24"/>
      <c r="T4" s="25"/>
      <c r="U4" s="24"/>
      <c r="V4" s="25"/>
      <c r="W4" s="26"/>
      <c r="X4" s="25"/>
      <c r="Y4" s="27"/>
      <c r="Z4" s="28"/>
      <c r="AA4" s="27"/>
      <c r="AB4" s="28"/>
      <c r="AC4" s="27"/>
      <c r="AD4" s="28"/>
      <c r="AE4" s="27"/>
      <c r="AF4" s="28"/>
      <c r="AG4" s="27"/>
      <c r="AH4" s="28"/>
      <c r="AI4" s="28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</row>
    <row r="5" spans="1:172" s="29" customFormat="1" ht="12.75">
      <c r="A5" s="269" t="s">
        <v>94</v>
      </c>
      <c r="B5" s="269" t="s">
        <v>94</v>
      </c>
      <c r="C5" s="1" t="str">
        <f t="shared" si="0"/>
        <v>Suez Environnement</v>
      </c>
      <c r="D5" s="149">
        <v>8.9</v>
      </c>
      <c r="E5" s="209">
        <v>311</v>
      </c>
      <c r="F5" s="149">
        <v>11.6</v>
      </c>
      <c r="G5" s="209">
        <v>406</v>
      </c>
      <c r="H5" s="149">
        <v>13.37</v>
      </c>
      <c r="I5" s="209">
        <v>468</v>
      </c>
      <c r="J5" s="149">
        <v>15.56</v>
      </c>
      <c r="K5" s="209">
        <v>545</v>
      </c>
      <c r="L5" s="149">
        <v>15.65</v>
      </c>
      <c r="M5" s="209">
        <v>548</v>
      </c>
      <c r="N5" s="149">
        <v>15.45</v>
      </c>
      <c r="O5" s="209">
        <v>541</v>
      </c>
      <c r="P5" s="21"/>
      <c r="Q5" s="22"/>
      <c r="R5" s="23"/>
      <c r="S5" s="24"/>
      <c r="T5" s="25"/>
      <c r="U5" s="24"/>
      <c r="V5" s="25"/>
      <c r="W5" s="26"/>
      <c r="X5" s="25"/>
      <c r="Y5" s="27"/>
      <c r="Z5" s="28"/>
      <c r="AA5" s="27"/>
      <c r="AB5" s="28"/>
      <c r="AC5" s="27"/>
      <c r="AD5" s="28"/>
      <c r="AE5" s="27"/>
      <c r="AF5" s="28"/>
      <c r="AG5" s="27"/>
      <c r="AH5" s="28"/>
      <c r="AI5" s="28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</row>
    <row r="6" spans="1:35" s="19" customFormat="1" ht="12.75">
      <c r="A6" s="247" t="s">
        <v>83</v>
      </c>
      <c r="B6" s="269" t="str">
        <f>A6</f>
        <v>Total</v>
      </c>
      <c r="C6" s="1" t="str">
        <f t="shared" si="0"/>
        <v>Total</v>
      </c>
      <c r="D6" s="155">
        <v>39.5</v>
      </c>
      <c r="E6" s="196">
        <v>3711</v>
      </c>
      <c r="F6" s="155">
        <v>38.37</v>
      </c>
      <c r="G6" s="196">
        <v>3605</v>
      </c>
      <c r="H6" s="155">
        <v>39.46</v>
      </c>
      <c r="I6" s="196">
        <v>3706</v>
      </c>
      <c r="J6" s="155">
        <v>43.22</v>
      </c>
      <c r="K6" s="196">
        <v>4060</v>
      </c>
      <c r="L6" s="155">
        <v>43.78</v>
      </c>
      <c r="M6" s="196">
        <v>4113</v>
      </c>
      <c r="N6" s="155">
        <v>39.65</v>
      </c>
      <c r="O6" s="196">
        <v>3725</v>
      </c>
      <c r="P6" s="31"/>
      <c r="Q6" s="14"/>
      <c r="R6" s="15"/>
      <c r="S6" s="14">
        <v>120.9</v>
      </c>
      <c r="T6" s="15">
        <v>2351</v>
      </c>
      <c r="U6" s="14">
        <v>125.1</v>
      </c>
      <c r="V6" s="15">
        <v>2399</v>
      </c>
      <c r="W6" s="32">
        <f>460.3/4.5</f>
        <v>102.28888888888889</v>
      </c>
      <c r="X6" s="15">
        <v>1921</v>
      </c>
      <c r="Y6" s="17">
        <v>86.76</v>
      </c>
      <c r="Z6" s="18">
        <v>1590</v>
      </c>
      <c r="AA6" s="17" t="e">
        <f>12875/(#REF!*4.5)</f>
        <v>#REF!</v>
      </c>
      <c r="AB6" s="18" t="e">
        <f>52109/#REF!</f>
        <v>#REF!</v>
      </c>
      <c r="AC6" s="17" t="e">
        <f>15275/(#REF!*4.5)</f>
        <v>#REF!</v>
      </c>
      <c r="AD6" s="18" t="e">
        <f>61445/#REF!</f>
        <v>#REF!</v>
      </c>
      <c r="AE6" s="17" t="e">
        <f>13950/#REF!</f>
        <v>#REF!</v>
      </c>
      <c r="AF6" s="18" t="e">
        <f>38455/#REF!</f>
        <v>#REF!</v>
      </c>
      <c r="AG6" s="4" t="e">
        <f>13675/#REF!</f>
        <v>#REF!</v>
      </c>
      <c r="AH6" s="18" t="e">
        <f>35072/#REF!</f>
        <v>#REF!</v>
      </c>
      <c r="AI6" s="30" t="s">
        <v>6</v>
      </c>
    </row>
    <row r="7" spans="1:35" s="19" customFormat="1" ht="12.75">
      <c r="A7" s="247" t="s">
        <v>88</v>
      </c>
      <c r="B7" s="269" t="str">
        <f>A7</f>
        <v>Imerys </v>
      </c>
      <c r="C7" s="1" t="str">
        <f t="shared" si="0"/>
        <v>Imerys </v>
      </c>
      <c r="D7" s="155">
        <v>35.59</v>
      </c>
      <c r="E7" s="196">
        <v>1525</v>
      </c>
      <c r="F7" s="155">
        <v>42.23</v>
      </c>
      <c r="G7" s="196">
        <v>1809</v>
      </c>
      <c r="H7" s="155">
        <v>47.15</v>
      </c>
      <c r="I7" s="196">
        <v>2006</v>
      </c>
      <c r="J7" s="155">
        <v>52.31</v>
      </c>
      <c r="K7" s="196">
        <v>2226</v>
      </c>
      <c r="L7" s="155">
        <v>50.43</v>
      </c>
      <c r="M7" s="196">
        <v>1170</v>
      </c>
      <c r="N7" s="155">
        <v>49.89</v>
      </c>
      <c r="O7" s="196">
        <v>1157</v>
      </c>
      <c r="P7" s="31"/>
      <c r="Q7" s="14"/>
      <c r="R7" s="18"/>
      <c r="S7" s="14">
        <v>159.9</v>
      </c>
      <c r="T7" s="18">
        <v>2134</v>
      </c>
      <c r="U7" s="14">
        <v>174.9</v>
      </c>
      <c r="V7" s="18">
        <v>2278</v>
      </c>
      <c r="W7" s="17">
        <v>173.2</v>
      </c>
      <c r="X7" s="18">
        <v>2197</v>
      </c>
      <c r="Y7" s="17">
        <f>1148/AK1</f>
        <v>175.0114717885471</v>
      </c>
      <c r="Z7" s="18">
        <f>85728/AJ1</f>
        <v>2125.1416091760266</v>
      </c>
      <c r="AA7" s="17">
        <f>1029/AK1</f>
        <v>156.8700387372953</v>
      </c>
      <c r="AB7" s="18">
        <f>76396/AJ1</f>
        <v>1893.8073718576397</v>
      </c>
      <c r="AC7" s="17">
        <f>995/AK1</f>
        <v>151.68677215122332</v>
      </c>
      <c r="AD7" s="18">
        <f>73440/AJ1</f>
        <v>1820.5300459346702</v>
      </c>
      <c r="AE7" s="17">
        <f>889/AK1</f>
        <v>135.52717632405782</v>
      </c>
      <c r="AF7" s="18">
        <f>41140/AJ1</f>
        <v>1019.8339609171069</v>
      </c>
      <c r="AG7" s="4">
        <f>666/AK1</f>
        <v>101.53104548011531</v>
      </c>
      <c r="AH7" s="18">
        <f>28071/AJ1</f>
        <v>695.8619133909604</v>
      </c>
      <c r="AI7" s="30" t="s">
        <v>6</v>
      </c>
    </row>
    <row r="8" spans="1:35" s="19" customFormat="1" ht="12.75">
      <c r="A8" s="271" t="s">
        <v>85</v>
      </c>
      <c r="B8" s="269" t="str">
        <f>A8</f>
        <v>Lafarge</v>
      </c>
      <c r="C8" s="1" t="str">
        <f t="shared" si="0"/>
        <v>Lafarge</v>
      </c>
      <c r="D8" s="155">
        <v>27.16</v>
      </c>
      <c r="E8" s="209">
        <v>1638</v>
      </c>
      <c r="F8" s="155">
        <v>30.61</v>
      </c>
      <c r="G8" s="209">
        <v>1846</v>
      </c>
      <c r="H8" s="155">
        <v>40.12</v>
      </c>
      <c r="I8" s="209">
        <v>2420</v>
      </c>
      <c r="J8" s="155">
        <v>47.78</v>
      </c>
      <c r="K8" s="209">
        <v>2881</v>
      </c>
      <c r="L8" s="155">
        <v>44.17</v>
      </c>
      <c r="M8" s="209">
        <v>2664</v>
      </c>
      <c r="N8" s="155">
        <v>46.92</v>
      </c>
      <c r="O8" s="209">
        <v>2830</v>
      </c>
      <c r="P8" s="31"/>
      <c r="Q8" s="14"/>
      <c r="R8" s="15"/>
      <c r="S8" s="14">
        <v>149.1</v>
      </c>
      <c r="T8" s="15">
        <v>624</v>
      </c>
      <c r="U8" s="14">
        <v>144</v>
      </c>
      <c r="V8" s="15">
        <v>603</v>
      </c>
      <c r="W8" s="16">
        <v>99.6</v>
      </c>
      <c r="X8" s="15">
        <v>417</v>
      </c>
      <c r="Y8" s="17">
        <f>560/AK1</f>
        <v>85.37144965294982</v>
      </c>
      <c r="Z8" s="18">
        <f>14416/AJ1</f>
        <v>357.36330531310193</v>
      </c>
      <c r="AA8" s="17">
        <f>563/AK1</f>
        <v>85.82879670466204</v>
      </c>
      <c r="AB8" s="18">
        <f>14484/AJ1</f>
        <v>359.0489812815599</v>
      </c>
      <c r="AC8" s="17">
        <f>831/AK1</f>
        <v>126.68513332428803</v>
      </c>
      <c r="AD8" s="18">
        <f>19136/AJ1</f>
        <v>474.3690490060709</v>
      </c>
      <c r="AE8" s="17">
        <f>818/AK1</f>
        <v>124.7032961002017</v>
      </c>
      <c r="AF8" s="18">
        <f>16662/AJ1</f>
        <v>413.0401909771715</v>
      </c>
      <c r="AG8" s="4">
        <f>748/AK1</f>
        <v>114.03186489358296</v>
      </c>
      <c r="AH8" s="18">
        <f>15243/AJ1</f>
        <v>377.8640998118488</v>
      </c>
      <c r="AI8" s="30" t="s">
        <v>6</v>
      </c>
    </row>
    <row r="9" spans="1:35" s="19" customFormat="1" ht="12.75">
      <c r="A9" s="271" t="s">
        <v>96</v>
      </c>
      <c r="B9" s="269" t="str">
        <f>A9</f>
        <v>Arkema</v>
      </c>
      <c r="C9" s="1" t="str">
        <f t="shared" si="0"/>
        <v>Arkema</v>
      </c>
      <c r="D9" s="155">
        <v>54.7</v>
      </c>
      <c r="E9" s="221">
        <v>339</v>
      </c>
      <c r="F9" s="155">
        <v>50.95</v>
      </c>
      <c r="G9" s="221">
        <v>314</v>
      </c>
      <c r="H9" s="155">
        <v>70.59</v>
      </c>
      <c r="I9" s="221">
        <v>266</v>
      </c>
      <c r="J9" s="155">
        <v>70.35</v>
      </c>
      <c r="K9" s="221">
        <v>265</v>
      </c>
      <c r="L9" s="155">
        <v>51.86</v>
      </c>
      <c r="M9" s="221">
        <v>189</v>
      </c>
      <c r="N9" s="155">
        <v>53.87</v>
      </c>
      <c r="O9" s="221">
        <v>166</v>
      </c>
      <c r="P9" s="31"/>
      <c r="Q9" s="14"/>
      <c r="R9" s="18"/>
      <c r="S9" s="33"/>
      <c r="T9" s="33" t="s">
        <v>16</v>
      </c>
      <c r="U9" s="34"/>
      <c r="V9" s="33" t="s">
        <v>16</v>
      </c>
      <c r="W9" s="35"/>
      <c r="X9" s="33" t="s">
        <v>16</v>
      </c>
      <c r="Y9" s="36"/>
      <c r="Z9" s="33" t="s">
        <v>16</v>
      </c>
      <c r="AA9" s="36"/>
      <c r="AB9" s="33"/>
      <c r="AC9" s="36"/>
      <c r="AD9" s="33"/>
      <c r="AE9" s="36"/>
      <c r="AF9" s="18"/>
      <c r="AG9" s="37"/>
      <c r="AH9" s="18"/>
      <c r="AI9" s="30"/>
    </row>
    <row r="10" spans="1:35" s="19" customFormat="1" ht="12.75">
      <c r="A10" s="247" t="s">
        <v>17</v>
      </c>
      <c r="B10" s="247" t="s">
        <v>18</v>
      </c>
      <c r="C10" s="30" t="s">
        <v>19</v>
      </c>
      <c r="D10" s="149"/>
      <c r="E10" s="196">
        <v>317</v>
      </c>
      <c r="F10" s="149"/>
      <c r="G10" s="196">
        <v>400</v>
      </c>
      <c r="H10" s="149"/>
      <c r="I10" s="196">
        <v>265</v>
      </c>
      <c r="J10" s="149"/>
      <c r="K10" s="196">
        <v>270</v>
      </c>
      <c r="L10" s="149"/>
      <c r="M10" s="196">
        <v>231</v>
      </c>
      <c r="N10" s="149"/>
      <c r="O10" s="196">
        <v>233</v>
      </c>
      <c r="P10" s="31"/>
      <c r="Q10" s="14"/>
      <c r="R10" s="15"/>
      <c r="S10" s="34"/>
      <c r="T10" s="15">
        <v>266</v>
      </c>
      <c r="U10" s="34"/>
      <c r="V10" s="15">
        <v>257</v>
      </c>
      <c r="W10" s="35"/>
      <c r="X10" s="15">
        <f>25+190</f>
        <v>215</v>
      </c>
      <c r="Y10" s="36" t="s">
        <v>3</v>
      </c>
      <c r="Z10" s="18">
        <f>7517/AJ1+1</f>
        <v>187.34156257204407</v>
      </c>
      <c r="AA10" s="36" t="s">
        <v>3</v>
      </c>
      <c r="AB10" s="18">
        <f>10221/AJ1</f>
        <v>253.371971670728</v>
      </c>
      <c r="AC10" s="36" t="s">
        <v>6</v>
      </c>
      <c r="AD10" s="18">
        <f>13264/AJ1</f>
        <v>328.80597125922475</v>
      </c>
      <c r="AE10" s="36" t="s">
        <v>6</v>
      </c>
      <c r="AF10" s="18">
        <f>15670/AJ1+1</f>
        <v>389.44915331966615</v>
      </c>
      <c r="AG10" s="37" t="s">
        <v>6</v>
      </c>
      <c r="AH10" s="18">
        <f>22978/AJ1</f>
        <v>569.6097412239495</v>
      </c>
      <c r="AI10" s="30" t="s">
        <v>6</v>
      </c>
    </row>
    <row r="11" spans="1:35" s="40" customFormat="1" ht="25.5">
      <c r="A11" s="270" t="s">
        <v>95</v>
      </c>
      <c r="B11" s="270" t="s">
        <v>90</v>
      </c>
      <c r="C11" s="38" t="s">
        <v>91</v>
      </c>
      <c r="D11" s="252"/>
      <c r="E11" s="196">
        <v>-694</v>
      </c>
      <c r="F11" s="252"/>
      <c r="G11" s="196">
        <v>-805</v>
      </c>
      <c r="H11" s="252"/>
      <c r="I11" s="196">
        <v>-728</v>
      </c>
      <c r="J11" s="252"/>
      <c r="K11" s="196">
        <v>-1055</v>
      </c>
      <c r="L11" s="252"/>
      <c r="M11" s="196">
        <v>481</v>
      </c>
      <c r="N11" s="252"/>
      <c r="O11" s="196">
        <v>509</v>
      </c>
      <c r="P11" s="31"/>
      <c r="Q11" s="14"/>
      <c r="R11" s="15"/>
      <c r="S11" s="39"/>
      <c r="T11" s="40">
        <v>392</v>
      </c>
      <c r="U11" s="39"/>
      <c r="V11" s="40">
        <v>414</v>
      </c>
      <c r="W11" s="41"/>
      <c r="X11" s="40">
        <v>527</v>
      </c>
      <c r="Y11" s="42" t="s">
        <v>3</v>
      </c>
      <c r="Z11" s="42">
        <f>24308/AJ1</f>
        <v>602.5795800187904</v>
      </c>
      <c r="AA11" s="42" t="s">
        <v>3</v>
      </c>
      <c r="AB11" s="42">
        <f>22554/AJ1</f>
        <v>559.0990557735641</v>
      </c>
      <c r="AC11" s="42" t="s">
        <v>6</v>
      </c>
      <c r="AD11" s="42">
        <f>29104/AJ1</f>
        <v>721.4693145000359</v>
      </c>
      <c r="AE11" s="42" t="s">
        <v>6</v>
      </c>
      <c r="AF11" s="42">
        <f>48989/AJ1+1</f>
        <v>1215.4055885116225</v>
      </c>
      <c r="AG11" s="38" t="s">
        <v>6</v>
      </c>
      <c r="AH11" s="42">
        <f>37124/AJ1+1</f>
        <v>921.279921368174</v>
      </c>
      <c r="AI11" s="38" t="s">
        <v>6</v>
      </c>
    </row>
    <row r="12" spans="1:37" s="237" customFormat="1" ht="12.75">
      <c r="A12" s="113" t="s">
        <v>25</v>
      </c>
      <c r="B12" s="113" t="s">
        <v>26</v>
      </c>
      <c r="C12" s="113" t="s">
        <v>27</v>
      </c>
      <c r="D12" s="257"/>
      <c r="E12" s="231">
        <f>SUM(E2:E11)</f>
        <v>11561</v>
      </c>
      <c r="F12" s="257"/>
      <c r="G12" s="231">
        <f>SUM(G2:G11)</f>
        <v>11925</v>
      </c>
      <c r="H12" s="257"/>
      <c r="I12" s="231">
        <f>SUM(I2:I11)</f>
        <v>13212</v>
      </c>
      <c r="J12" s="257"/>
      <c r="K12" s="231">
        <f>SUM(K2:K11)</f>
        <v>14397</v>
      </c>
      <c r="L12" s="257"/>
      <c r="M12" s="231">
        <f>SUM(M2:M11)</f>
        <v>14742</v>
      </c>
      <c r="N12" s="257"/>
      <c r="O12" s="231">
        <f>SUM(O2:O11)</f>
        <v>14324</v>
      </c>
      <c r="P12" s="141"/>
      <c r="Q12" s="232"/>
      <c r="R12" s="116"/>
      <c r="S12" s="233"/>
      <c r="T12" s="116" t="e">
        <f>SUM(T3:T7:#REF!)-#REF!-T4</f>
        <v>#REF!</v>
      </c>
      <c r="U12" s="233"/>
      <c r="V12" s="116" t="e">
        <f>SUM(V3:V7:#REF!)-#REF!-V4</f>
        <v>#REF!</v>
      </c>
      <c r="W12" s="234"/>
      <c r="X12" s="116" t="e">
        <f>SUM(X3:X7:#REF!)-#REF!-X4</f>
        <v>#REF!</v>
      </c>
      <c r="Y12" s="235" t="s">
        <v>3</v>
      </c>
      <c r="Z12" s="116" t="e">
        <f>SUM(Z3:Z7:#REF!)-#REF!-Z4-1</f>
        <v>#REF!</v>
      </c>
      <c r="AA12" s="235" t="s">
        <v>3</v>
      </c>
      <c r="AB12" s="116">
        <f>SUM(AB7:AB11)</f>
        <v>3065.3273805834915</v>
      </c>
      <c r="AC12" s="235" t="s">
        <v>6</v>
      </c>
      <c r="AD12" s="116">
        <f>SUM(AD7:AD11)</f>
        <v>3345.174380700002</v>
      </c>
      <c r="AE12" s="235" t="s">
        <v>6</v>
      </c>
      <c r="AF12" s="116">
        <f>SUM(AF7:AF11)-2</f>
        <v>3035.728893725567</v>
      </c>
      <c r="AG12" s="236" t="s">
        <v>6</v>
      </c>
      <c r="AH12" s="116">
        <f>SUM(AH7:AH11)-1</f>
        <v>2563.615675794933</v>
      </c>
      <c r="AI12" s="113" t="s">
        <v>6</v>
      </c>
      <c r="AJ12" s="237">
        <f>236182/AJ1</f>
        <v>5854.798846799323</v>
      </c>
      <c r="AK12" s="237">
        <f>214263/AJ1</f>
        <v>5311.441029848859</v>
      </c>
    </row>
    <row r="13" spans="1:35" s="121" customFormat="1" ht="25.5" customHeight="1">
      <c r="A13" s="178" t="s">
        <v>28</v>
      </c>
      <c r="B13" s="178" t="s">
        <v>29</v>
      </c>
      <c r="C13" s="118" t="s">
        <v>30</v>
      </c>
      <c r="D13" s="258"/>
      <c r="E13" s="198">
        <v>71.65</v>
      </c>
      <c r="F13" s="258"/>
      <c r="G13" s="198">
        <v>73.9</v>
      </c>
      <c r="H13" s="258"/>
      <c r="I13" s="198">
        <v>81.88</v>
      </c>
      <c r="J13" s="258"/>
      <c r="K13" s="198">
        <v>89.22</v>
      </c>
      <c r="L13" s="258"/>
      <c r="M13" s="198">
        <v>91.36</v>
      </c>
      <c r="N13" s="258"/>
      <c r="O13" s="198">
        <v>88.77</v>
      </c>
      <c r="P13" s="142"/>
      <c r="Q13" s="261"/>
      <c r="R13" s="47"/>
      <c r="S13" s="120"/>
      <c r="T13" s="47">
        <v>289.33</v>
      </c>
      <c r="U13" s="120"/>
      <c r="V13" s="47">
        <v>256.53</v>
      </c>
      <c r="W13" s="239"/>
      <c r="X13" s="47">
        <v>256.53</v>
      </c>
      <c r="Y13" s="47" t="s">
        <v>3</v>
      </c>
      <c r="Z13" s="47">
        <v>239.64</v>
      </c>
      <c r="AA13" s="47" t="s">
        <v>3</v>
      </c>
      <c r="AB13" s="47">
        <v>217.47</v>
      </c>
      <c r="AC13" s="47"/>
      <c r="AD13" s="47">
        <v>238.97</v>
      </c>
      <c r="AE13" s="47" t="s">
        <v>6</v>
      </c>
      <c r="AF13" s="47">
        <v>206.87</v>
      </c>
      <c r="AG13" s="240" t="s">
        <v>6</v>
      </c>
      <c r="AH13" s="47">
        <v>178.36</v>
      </c>
      <c r="AI13" s="240" t="s">
        <v>6</v>
      </c>
    </row>
    <row r="14" spans="1:35" s="121" customFormat="1" ht="12.75">
      <c r="A14" s="178" t="s">
        <v>31</v>
      </c>
      <c r="B14" s="178" t="s">
        <v>32</v>
      </c>
      <c r="C14" s="118" t="s">
        <v>33</v>
      </c>
      <c r="D14" s="258"/>
      <c r="E14" s="199">
        <v>51.51</v>
      </c>
      <c r="F14" s="258"/>
      <c r="G14" s="199">
        <v>57.29</v>
      </c>
      <c r="H14" s="258"/>
      <c r="I14" s="199">
        <v>60.39</v>
      </c>
      <c r="J14" s="258"/>
      <c r="K14" s="199">
        <v>66.95</v>
      </c>
      <c r="L14" s="258"/>
      <c r="M14" s="199">
        <v>66.62</v>
      </c>
      <c r="N14" s="258"/>
      <c r="O14" s="199">
        <v>62.93</v>
      </c>
      <c r="P14" s="118"/>
      <c r="Q14" s="120"/>
      <c r="S14" s="120"/>
      <c r="T14" s="121">
        <v>186.9</v>
      </c>
      <c r="U14" s="120"/>
      <c r="V14" s="121">
        <v>163.9</v>
      </c>
      <c r="W14" s="239"/>
      <c r="X14" s="121">
        <v>167.5</v>
      </c>
      <c r="Y14" s="142" t="s">
        <v>3</v>
      </c>
      <c r="Z14" s="142">
        <v>173.53</v>
      </c>
      <c r="AA14" s="142" t="s">
        <v>3</v>
      </c>
      <c r="AB14" s="142">
        <v>160.64</v>
      </c>
      <c r="AC14" s="47" t="s">
        <v>6</v>
      </c>
      <c r="AD14" s="47">
        <v>186.17</v>
      </c>
      <c r="AE14" s="47" t="s">
        <v>6</v>
      </c>
      <c r="AF14" s="47">
        <v>160.64</v>
      </c>
      <c r="AG14" s="240" t="s">
        <v>6</v>
      </c>
      <c r="AH14" s="47">
        <v>132.87</v>
      </c>
      <c r="AI14" s="118" t="s">
        <v>6</v>
      </c>
    </row>
    <row r="15" spans="1:35" s="124" customFormat="1" ht="12.75">
      <c r="A15" s="181"/>
      <c r="B15" s="181"/>
      <c r="C15" s="122"/>
      <c r="D15" s="259"/>
      <c r="E15" s="200"/>
      <c r="F15" s="259"/>
      <c r="G15" s="200"/>
      <c r="H15" s="259"/>
      <c r="I15" s="200"/>
      <c r="J15" s="259"/>
      <c r="K15" s="200"/>
      <c r="L15" s="259"/>
      <c r="M15" s="200"/>
      <c r="N15" s="259"/>
      <c r="O15" s="200"/>
      <c r="P15" s="122"/>
      <c r="Q15" s="125"/>
      <c r="S15" s="125"/>
      <c r="T15" s="124">
        <v>0.354</v>
      </c>
      <c r="U15" s="125"/>
      <c r="V15" s="124">
        <v>0.443</v>
      </c>
      <c r="W15" s="262"/>
      <c r="X15" s="124">
        <v>0.347</v>
      </c>
      <c r="Y15" s="263" t="s">
        <v>3</v>
      </c>
      <c r="Z15" s="263">
        <v>0.276</v>
      </c>
      <c r="AA15" s="263" t="s">
        <v>3</v>
      </c>
      <c r="AB15" s="263">
        <v>0.26</v>
      </c>
      <c r="AC15" s="263" t="s">
        <v>6</v>
      </c>
      <c r="AD15" s="263">
        <v>0.221</v>
      </c>
      <c r="AE15" s="263" t="s">
        <v>6</v>
      </c>
      <c r="AF15" s="263">
        <v>0.224</v>
      </c>
      <c r="AG15" s="122" t="s">
        <v>6</v>
      </c>
      <c r="AH15" s="263">
        <v>0.255</v>
      </c>
      <c r="AI15" s="122" t="s">
        <v>6</v>
      </c>
    </row>
    <row r="16" spans="1:35" s="243" customFormat="1" ht="12.75">
      <c r="A16" s="248" t="s">
        <v>78</v>
      </c>
      <c r="B16" s="248" t="s">
        <v>82</v>
      </c>
      <c r="C16" s="264" t="s">
        <v>81</v>
      </c>
      <c r="D16" s="265"/>
      <c r="E16" s="267">
        <v>161358287</v>
      </c>
      <c r="F16" s="265"/>
      <c r="G16" s="267">
        <v>161358287</v>
      </c>
      <c r="H16" s="266"/>
      <c r="I16" s="267">
        <v>161358287</v>
      </c>
      <c r="J16" s="266"/>
      <c r="K16" s="267">
        <v>161358287</v>
      </c>
      <c r="L16" s="266"/>
      <c r="M16" s="267">
        <v>161358287</v>
      </c>
      <c r="N16" s="265"/>
      <c r="O16" s="267">
        <v>161358287</v>
      </c>
      <c r="P16" s="143"/>
      <c r="Q16" s="242"/>
      <c r="R16" s="43"/>
      <c r="S16" s="127"/>
      <c r="T16" s="43">
        <v>24432025</v>
      </c>
      <c r="U16" s="127"/>
      <c r="V16" s="43">
        <v>24432025</v>
      </c>
      <c r="W16" s="239"/>
      <c r="X16" s="43">
        <v>24432025</v>
      </c>
      <c r="Y16" s="47" t="s">
        <v>3</v>
      </c>
      <c r="Z16" s="43">
        <v>24432025</v>
      </c>
      <c r="AA16" s="47" t="s">
        <v>3</v>
      </c>
      <c r="AB16" s="43">
        <v>24458667</v>
      </c>
      <c r="AC16" s="47" t="s">
        <v>6</v>
      </c>
      <c r="AD16" s="43">
        <v>24402157</v>
      </c>
      <c r="AE16" s="47" t="s">
        <v>6</v>
      </c>
      <c r="AF16" s="43">
        <v>25783578</v>
      </c>
      <c r="AG16" s="240" t="s">
        <v>6</v>
      </c>
      <c r="AH16" s="43">
        <v>25783578</v>
      </c>
      <c r="AI16" s="126" t="s">
        <v>6</v>
      </c>
    </row>
    <row r="17" spans="5:17" ht="12.75">
      <c r="E17" s="221"/>
      <c r="G17" s="221"/>
      <c r="I17" s="221"/>
      <c r="Q17" s="16"/>
    </row>
    <row r="18" spans="1:30" s="19" customFormat="1" ht="12.75" customHeight="1">
      <c r="A18" s="72"/>
      <c r="B18" s="75"/>
      <c r="C18" s="58"/>
      <c r="D18" s="224"/>
      <c r="E18" s="225"/>
      <c r="F18" s="224"/>
      <c r="G18" s="225"/>
      <c r="H18" s="224"/>
      <c r="I18" s="225"/>
      <c r="J18" s="224"/>
      <c r="K18" s="225"/>
      <c r="L18" s="224"/>
      <c r="M18" s="225"/>
      <c r="N18" s="224"/>
      <c r="O18" s="225"/>
      <c r="P18" s="59"/>
      <c r="Q18" s="57"/>
      <c r="R18" s="60"/>
      <c r="T18" s="36"/>
      <c r="U18" s="30"/>
      <c r="V18" s="36"/>
      <c r="W18" s="33"/>
      <c r="X18" s="33"/>
      <c r="Y18" s="33"/>
      <c r="Z18" s="33"/>
      <c r="AA18" s="33"/>
      <c r="AB18" s="33"/>
      <c r="AC18" s="33"/>
      <c r="AD18" s="30"/>
    </row>
    <row r="19" spans="4:27" ht="12.75">
      <c r="D19" s="190"/>
      <c r="F19" s="190"/>
      <c r="H19" s="190"/>
      <c r="J19" s="190"/>
      <c r="L19" s="190"/>
      <c r="N19" s="190"/>
      <c r="Q19" s="16"/>
      <c r="U19" s="55"/>
      <c r="Y19" s="56"/>
      <c r="AA19"/>
    </row>
    <row r="20" spans="4:27" ht="12.75">
      <c r="D20" s="190"/>
      <c r="F20" s="190"/>
      <c r="H20" s="190"/>
      <c r="J20" s="190"/>
      <c r="L20" s="190"/>
      <c r="N20" s="190"/>
      <c r="Q20" s="16"/>
      <c r="U20" s="55"/>
      <c r="Y20" s="56"/>
      <c r="AA20"/>
    </row>
    <row r="21" spans="4:27" ht="12.75">
      <c r="D21" s="190"/>
      <c r="F21" s="190"/>
      <c r="H21" s="190"/>
      <c r="J21" s="190"/>
      <c r="L21" s="190"/>
      <c r="N21" s="190"/>
      <c r="Q21" s="16"/>
      <c r="U21" s="55"/>
      <c r="Y21" s="56"/>
      <c r="AA21"/>
    </row>
    <row r="22" spans="4:27" ht="12.75">
      <c r="D22" s="190"/>
      <c r="F22" s="190"/>
      <c r="H22" s="190"/>
      <c r="J22" s="190"/>
      <c r="L22" s="190"/>
      <c r="N22" s="190"/>
      <c r="Q22" s="16"/>
      <c r="U22" s="55"/>
      <c r="Y22" s="56"/>
      <c r="AA22"/>
    </row>
  </sheetData>
  <sheetProtection/>
  <printOptions/>
  <pageMargins left="0.28" right="0.2" top="0.984251969" bottom="0.984251969" header="0.4921259845" footer="0.4921259845"/>
  <pageSetup fitToHeight="1" fitToWidth="1" horizontalDpi="600" verticalDpi="600" orientation="landscape" paperSize="9" scale="60" r:id="rId1"/>
  <headerFooter alignWithMargins="0">
    <oddHeader>&amp;L"FR NL UK VAC trimestrielle.xls"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P22"/>
  <sheetViews>
    <sheetView showGridLines="0" zoomScale="85" zoomScaleNormal="85" zoomScalePageLayoutView="0" workbookViewId="0" topLeftCell="A1">
      <selection activeCell="F53" sqref="F53"/>
    </sheetView>
  </sheetViews>
  <sheetFormatPr defaultColWidth="11.421875" defaultRowHeight="12.75"/>
  <cols>
    <col min="1" max="1" width="28.140625" style="0" bestFit="1" customWidth="1"/>
    <col min="2" max="2" width="35.8515625" style="0" bestFit="1" customWidth="1"/>
    <col min="3" max="3" width="32.00390625" style="0" bestFit="1" customWidth="1"/>
    <col min="4" max="4" width="11.57421875" style="191" customWidth="1"/>
    <col min="5" max="5" width="12.421875" style="203" customWidth="1"/>
    <col min="6" max="6" width="11.57421875" style="191" customWidth="1"/>
    <col min="7" max="7" width="12.421875" style="203" customWidth="1"/>
    <col min="8" max="8" width="11.57421875" style="191" customWidth="1"/>
    <col min="9" max="9" width="12.421875" style="203" customWidth="1"/>
    <col min="10" max="10" width="11.57421875" style="191" customWidth="1"/>
    <col min="11" max="11" width="12.421875" style="203" customWidth="1"/>
    <col min="12" max="12" width="11.57421875" style="191" customWidth="1"/>
    <col min="13" max="13" width="12.421875" style="203" customWidth="1"/>
    <col min="14" max="14" width="11.57421875" style="191" customWidth="1"/>
    <col min="15" max="15" width="12.421875" style="203" customWidth="1"/>
    <col min="16" max="16" width="12.421875" style="0" customWidth="1"/>
    <col min="17" max="17" width="11.421875" style="54" customWidth="1"/>
    <col min="18" max="18" width="11.421875" style="0" customWidth="1"/>
    <col min="19" max="19" width="9.140625" style="54" hidden="1" customWidth="1"/>
    <col min="20" max="20" width="9.140625" style="0" hidden="1" customWidth="1"/>
    <col min="21" max="21" width="9.140625" style="54" hidden="1" customWidth="1"/>
    <col min="22" max="22" width="9.140625" style="0" hidden="1" customWidth="1"/>
    <col min="23" max="23" width="11.57421875" style="55" hidden="1" customWidth="1"/>
    <col min="24" max="24" width="9.140625" style="0" hidden="1" customWidth="1"/>
    <col min="25" max="25" width="9.140625" style="55" hidden="1" customWidth="1"/>
    <col min="26" max="26" width="9.140625" style="0" hidden="1" customWidth="1"/>
    <col min="27" max="27" width="11.57421875" style="56" hidden="1" customWidth="1"/>
    <col min="28" max="30" width="9.140625" style="0" hidden="1" customWidth="1"/>
    <col min="31" max="34" width="11.421875" style="0" hidden="1" customWidth="1"/>
    <col min="35" max="35" width="11.421875" style="0" customWidth="1"/>
    <col min="36" max="37" width="9.140625" style="0" hidden="1" customWidth="1"/>
  </cols>
  <sheetData>
    <row r="1" spans="1:37" s="87" customFormat="1" ht="12.75">
      <c r="A1" s="79" t="s">
        <v>0</v>
      </c>
      <c r="B1" s="79" t="s">
        <v>1</v>
      </c>
      <c r="C1" s="79" t="s">
        <v>2</v>
      </c>
      <c r="D1" s="144"/>
      <c r="E1" s="256">
        <v>41274</v>
      </c>
      <c r="F1" s="144"/>
      <c r="G1" s="256">
        <v>41182</v>
      </c>
      <c r="H1" s="144"/>
      <c r="I1" s="256">
        <v>41090</v>
      </c>
      <c r="J1" s="144"/>
      <c r="K1" s="256">
        <v>40999</v>
      </c>
      <c r="L1" s="144"/>
      <c r="M1" s="256">
        <v>40963</v>
      </c>
      <c r="N1" s="144"/>
      <c r="O1" s="256">
        <v>40908</v>
      </c>
      <c r="P1" s="88"/>
      <c r="Q1" s="89"/>
      <c r="R1" s="88"/>
      <c r="S1" s="82"/>
      <c r="T1" s="81">
        <v>36420</v>
      </c>
      <c r="U1" s="82"/>
      <c r="V1" s="81">
        <v>36341</v>
      </c>
      <c r="W1" s="81"/>
      <c r="X1" s="81">
        <v>36231</v>
      </c>
      <c r="Y1" s="81"/>
      <c r="Z1" s="81">
        <v>36160</v>
      </c>
      <c r="AA1" s="83"/>
      <c r="AB1" s="81">
        <v>36052</v>
      </c>
      <c r="AC1" s="84" t="s">
        <v>3</v>
      </c>
      <c r="AD1" s="85">
        <v>35976</v>
      </c>
      <c r="AE1" s="84" t="s">
        <v>3</v>
      </c>
      <c r="AF1" s="85">
        <v>35884</v>
      </c>
      <c r="AG1" s="86" t="s">
        <v>3</v>
      </c>
      <c r="AH1" s="85">
        <v>35795</v>
      </c>
      <c r="AJ1" s="87">
        <v>40.3399</v>
      </c>
      <c r="AK1" s="87">
        <v>6.55957</v>
      </c>
    </row>
    <row r="2" spans="1:34" s="11" customFormat="1" ht="12.75">
      <c r="A2" s="1" t="s">
        <v>92</v>
      </c>
      <c r="B2" s="1" t="str">
        <f>A2</f>
        <v>Iberdrola</v>
      </c>
      <c r="C2" s="1" t="str">
        <f aca="true" t="shared" si="0" ref="C2:C9">A2</f>
        <v>Iberdrola</v>
      </c>
      <c r="D2" s="149">
        <v>4.2</v>
      </c>
      <c r="E2" s="193">
        <v>58</v>
      </c>
      <c r="F2" s="149">
        <v>3.53</v>
      </c>
      <c r="G2" s="193">
        <v>49</v>
      </c>
      <c r="H2" s="149">
        <v>3.72</v>
      </c>
      <c r="I2" s="193">
        <v>53</v>
      </c>
      <c r="J2" s="149">
        <v>4.26</v>
      </c>
      <c r="K2" s="193">
        <v>60</v>
      </c>
      <c r="L2" s="149">
        <v>4.51</v>
      </c>
      <c r="M2" s="193">
        <v>64</v>
      </c>
      <c r="N2" s="149">
        <v>4.84</v>
      </c>
      <c r="O2" s="193">
        <v>69</v>
      </c>
      <c r="P2" s="3"/>
      <c r="Q2" s="77"/>
      <c r="R2" s="78"/>
      <c r="S2" s="5"/>
      <c r="T2" s="6"/>
      <c r="U2" s="5"/>
      <c r="V2" s="6"/>
      <c r="W2" s="6"/>
      <c r="X2" s="6"/>
      <c r="Y2" s="6"/>
      <c r="Z2" s="6"/>
      <c r="AA2" s="7"/>
      <c r="AB2" s="6"/>
      <c r="AC2" s="8"/>
      <c r="AD2" s="9"/>
      <c r="AE2" s="8"/>
      <c r="AF2" s="9"/>
      <c r="AG2" s="10"/>
      <c r="AH2" s="9"/>
    </row>
    <row r="3" spans="1:35" s="19" customFormat="1" ht="12.75">
      <c r="A3" s="1" t="s">
        <v>86</v>
      </c>
      <c r="B3" s="1" t="str">
        <f>A3</f>
        <v>Pernod Ricard</v>
      </c>
      <c r="C3" s="1" t="str">
        <f t="shared" si="0"/>
        <v>Pernod Ricard</v>
      </c>
      <c r="D3" s="149">
        <v>87.44</v>
      </c>
      <c r="E3" s="194">
        <v>1739</v>
      </c>
      <c r="F3" s="149">
        <v>87.31</v>
      </c>
      <c r="G3" s="194">
        <v>1737</v>
      </c>
      <c r="H3" s="149">
        <v>84.26</v>
      </c>
      <c r="I3" s="194">
        <v>1676</v>
      </c>
      <c r="J3" s="149">
        <v>78.4</v>
      </c>
      <c r="K3" s="194">
        <v>1560</v>
      </c>
      <c r="L3" s="149">
        <v>76.79</v>
      </c>
      <c r="M3" s="194">
        <v>2004</v>
      </c>
      <c r="N3" s="149">
        <v>71.66</v>
      </c>
      <c r="O3" s="194">
        <v>1870</v>
      </c>
      <c r="P3" s="13"/>
      <c r="Q3" s="14"/>
      <c r="R3" s="15"/>
      <c r="S3" s="14">
        <v>48.35</v>
      </c>
      <c r="T3" s="15">
        <v>1302</v>
      </c>
      <c r="U3" s="14">
        <v>46.55</v>
      </c>
      <c r="V3" s="15">
        <v>1242</v>
      </c>
      <c r="W3" s="16">
        <v>37.45</v>
      </c>
      <c r="X3" s="15">
        <v>991</v>
      </c>
      <c r="Y3" s="17">
        <f>1550/AJ1</f>
        <v>38.42349633985211</v>
      </c>
      <c r="Z3" s="18">
        <f>40072/AJ1</f>
        <v>993.3589324713249</v>
      </c>
      <c r="AA3" s="17">
        <f>1498/AJ1</f>
        <v>37.13445001103126</v>
      </c>
      <c r="AB3" s="18">
        <f>38499/AJ1</f>
        <v>954.3652810244944</v>
      </c>
      <c r="AC3" s="17">
        <f>1520/AJ1</f>
        <v>37.67981576553239</v>
      </c>
      <c r="AD3" s="18">
        <f>38837/AJ1</f>
        <v>962.7440821618299</v>
      </c>
      <c r="AE3" s="17">
        <f>1510/AJ1</f>
        <v>37.43192224075915</v>
      </c>
      <c r="AF3" s="18">
        <f>26966/AJ1</f>
        <v>668.4696789035173</v>
      </c>
      <c r="AG3" s="4">
        <f>1510/AJ1</f>
        <v>37.43192224075915</v>
      </c>
      <c r="AH3" s="18">
        <f>25184/AJ1</f>
        <v>624.2950527889261</v>
      </c>
      <c r="AI3" s="12" t="s">
        <v>6</v>
      </c>
    </row>
    <row r="4" spans="1:172" s="29" customFormat="1" ht="12.75">
      <c r="A4" s="1" t="s">
        <v>93</v>
      </c>
      <c r="B4" s="1" t="s">
        <v>93</v>
      </c>
      <c r="C4" s="1" t="str">
        <f t="shared" si="0"/>
        <v>GDF SUEZ</v>
      </c>
      <c r="D4" s="149">
        <v>15.58</v>
      </c>
      <c r="E4" s="209">
        <v>1825</v>
      </c>
      <c r="F4" s="149">
        <v>17.4</v>
      </c>
      <c r="G4" s="209">
        <v>2039</v>
      </c>
      <c r="H4" s="149">
        <v>18.76</v>
      </c>
      <c r="I4" s="209">
        <v>2198</v>
      </c>
      <c r="J4" s="149">
        <v>19.37</v>
      </c>
      <c r="K4" s="209">
        <v>2270</v>
      </c>
      <c r="L4" s="149">
        <v>19.68</v>
      </c>
      <c r="M4" s="209">
        <v>2305</v>
      </c>
      <c r="N4" s="149">
        <v>21.12</v>
      </c>
      <c r="O4" s="209">
        <v>2475</v>
      </c>
      <c r="P4" s="21"/>
      <c r="Q4" s="22"/>
      <c r="R4" s="23"/>
      <c r="S4" s="24"/>
      <c r="T4" s="25"/>
      <c r="U4" s="24"/>
      <c r="V4" s="25"/>
      <c r="W4" s="26"/>
      <c r="X4" s="25"/>
      <c r="Y4" s="27"/>
      <c r="Z4" s="28"/>
      <c r="AA4" s="27"/>
      <c r="AB4" s="28"/>
      <c r="AC4" s="27"/>
      <c r="AD4" s="28"/>
      <c r="AE4" s="27"/>
      <c r="AF4" s="28"/>
      <c r="AG4" s="27"/>
      <c r="AH4" s="28"/>
      <c r="AI4" s="28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</row>
    <row r="5" spans="1:172" s="29" customFormat="1" ht="12.75">
      <c r="A5" s="1" t="s">
        <v>94</v>
      </c>
      <c r="B5" s="1" t="s">
        <v>94</v>
      </c>
      <c r="C5" s="1" t="str">
        <f t="shared" si="0"/>
        <v>Suez Environnement</v>
      </c>
      <c r="D5" s="149">
        <v>9.11</v>
      </c>
      <c r="E5" s="209">
        <v>319</v>
      </c>
      <c r="F5" s="149">
        <v>8.82</v>
      </c>
      <c r="G5" s="209">
        <v>309</v>
      </c>
      <c r="H5" s="149">
        <v>8.47</v>
      </c>
      <c r="I5" s="209">
        <v>296</v>
      </c>
      <c r="J5" s="149">
        <v>11.5</v>
      </c>
      <c r="K5" s="209">
        <v>403</v>
      </c>
      <c r="L5" s="149">
        <v>10.54</v>
      </c>
      <c r="M5" s="209">
        <v>369</v>
      </c>
      <c r="N5" s="149">
        <v>8.9</v>
      </c>
      <c r="O5" s="209">
        <v>311</v>
      </c>
      <c r="P5" s="21"/>
      <c r="Q5" s="22"/>
      <c r="R5" s="23"/>
      <c r="S5" s="24"/>
      <c r="T5" s="25"/>
      <c r="U5" s="24"/>
      <c r="V5" s="25"/>
      <c r="W5" s="26"/>
      <c r="X5" s="25"/>
      <c r="Y5" s="27"/>
      <c r="Z5" s="28"/>
      <c r="AA5" s="27"/>
      <c r="AB5" s="28"/>
      <c r="AC5" s="27"/>
      <c r="AD5" s="28"/>
      <c r="AE5" s="27"/>
      <c r="AF5" s="28"/>
      <c r="AG5" s="27"/>
      <c r="AH5" s="28"/>
      <c r="AI5" s="28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</row>
    <row r="6" spans="1:35" s="19" customFormat="1" ht="12.75">
      <c r="A6" s="30" t="s">
        <v>83</v>
      </c>
      <c r="B6" s="1" t="str">
        <f>A6</f>
        <v>Total</v>
      </c>
      <c r="C6" s="1" t="str">
        <f t="shared" si="0"/>
        <v>Total</v>
      </c>
      <c r="D6" s="155">
        <v>39.01</v>
      </c>
      <c r="E6" s="196">
        <v>3665</v>
      </c>
      <c r="F6" s="155">
        <v>38.6</v>
      </c>
      <c r="G6" s="196">
        <v>3626</v>
      </c>
      <c r="H6" s="155">
        <v>35.5</v>
      </c>
      <c r="I6" s="196">
        <v>3335</v>
      </c>
      <c r="J6" s="155">
        <v>38.24</v>
      </c>
      <c r="K6" s="196">
        <v>3592</v>
      </c>
      <c r="L6" s="155">
        <v>42.07</v>
      </c>
      <c r="M6" s="196">
        <v>3951</v>
      </c>
      <c r="N6" s="155">
        <v>39.5</v>
      </c>
      <c r="O6" s="196">
        <v>3711</v>
      </c>
      <c r="P6" s="31"/>
      <c r="Q6" s="14"/>
      <c r="R6" s="15"/>
      <c r="S6" s="14">
        <v>120.9</v>
      </c>
      <c r="T6" s="15">
        <v>2351</v>
      </c>
      <c r="U6" s="14">
        <v>125.1</v>
      </c>
      <c r="V6" s="15">
        <v>2399</v>
      </c>
      <c r="W6" s="32">
        <f>460.3/4.5</f>
        <v>102.28888888888889</v>
      </c>
      <c r="X6" s="15">
        <v>1921</v>
      </c>
      <c r="Y6" s="17">
        <v>86.76</v>
      </c>
      <c r="Z6" s="18">
        <v>1590</v>
      </c>
      <c r="AA6" s="17" t="e">
        <f>12875/(#REF!*4.5)</f>
        <v>#REF!</v>
      </c>
      <c r="AB6" s="18" t="e">
        <f>52109/#REF!</f>
        <v>#REF!</v>
      </c>
      <c r="AC6" s="17" t="e">
        <f>15275/(#REF!*4.5)</f>
        <v>#REF!</v>
      </c>
      <c r="AD6" s="18" t="e">
        <f>61445/#REF!</f>
        <v>#REF!</v>
      </c>
      <c r="AE6" s="17" t="e">
        <f>13950/#REF!</f>
        <v>#REF!</v>
      </c>
      <c r="AF6" s="18" t="e">
        <f>38455/#REF!</f>
        <v>#REF!</v>
      </c>
      <c r="AG6" s="4" t="e">
        <f>13675/#REF!</f>
        <v>#REF!</v>
      </c>
      <c r="AH6" s="18" t="e">
        <f>35072/#REF!</f>
        <v>#REF!</v>
      </c>
      <c r="AI6" s="30" t="s">
        <v>6</v>
      </c>
    </row>
    <row r="7" spans="1:35" s="19" customFormat="1" ht="12.75">
      <c r="A7" s="30" t="s">
        <v>88</v>
      </c>
      <c r="B7" s="1" t="str">
        <f>A7</f>
        <v>Imerys </v>
      </c>
      <c r="C7" s="1" t="str">
        <f t="shared" si="0"/>
        <v>Imerys </v>
      </c>
      <c r="D7" s="155">
        <v>48.19</v>
      </c>
      <c r="E7" s="196">
        <v>2065</v>
      </c>
      <c r="F7" s="155">
        <v>45.66</v>
      </c>
      <c r="G7" s="196">
        <v>1957</v>
      </c>
      <c r="H7" s="155">
        <v>40.09</v>
      </c>
      <c r="I7" s="196">
        <v>1718</v>
      </c>
      <c r="J7" s="155">
        <v>45.59</v>
      </c>
      <c r="K7" s="196">
        <v>1954</v>
      </c>
      <c r="L7" s="155">
        <v>45.15</v>
      </c>
      <c r="M7" s="196">
        <v>1935</v>
      </c>
      <c r="N7" s="155">
        <v>35.59</v>
      </c>
      <c r="O7" s="196">
        <v>1525</v>
      </c>
      <c r="P7" s="31"/>
      <c r="Q7" s="14"/>
      <c r="R7" s="18"/>
      <c r="S7" s="14">
        <v>159.9</v>
      </c>
      <c r="T7" s="18">
        <v>2134</v>
      </c>
      <c r="U7" s="14">
        <v>174.9</v>
      </c>
      <c r="V7" s="18">
        <v>2278</v>
      </c>
      <c r="W7" s="17">
        <v>173.2</v>
      </c>
      <c r="X7" s="18">
        <v>2197</v>
      </c>
      <c r="Y7" s="17">
        <f>1148/AK1</f>
        <v>175.0114717885471</v>
      </c>
      <c r="Z7" s="18">
        <f>85728/AJ1</f>
        <v>2125.1416091760266</v>
      </c>
      <c r="AA7" s="17">
        <f>1029/AK1</f>
        <v>156.8700387372953</v>
      </c>
      <c r="AB7" s="18">
        <f>76396/AJ1</f>
        <v>1893.8073718576397</v>
      </c>
      <c r="AC7" s="17">
        <f>995/AK1</f>
        <v>151.68677215122332</v>
      </c>
      <c r="AD7" s="18">
        <f>73440/AJ1</f>
        <v>1820.5300459346702</v>
      </c>
      <c r="AE7" s="17">
        <f>889/AK1</f>
        <v>135.52717632405782</v>
      </c>
      <c r="AF7" s="18">
        <f>41140/AJ1</f>
        <v>1019.8339609171069</v>
      </c>
      <c r="AG7" s="4">
        <f>666/AK1</f>
        <v>101.53104548011531</v>
      </c>
      <c r="AH7" s="18">
        <f>28071/AJ1</f>
        <v>695.8619133909604</v>
      </c>
      <c r="AI7" s="30" t="s">
        <v>6</v>
      </c>
    </row>
    <row r="8" spans="1:35" s="19" customFormat="1" ht="12.75">
      <c r="A8" s="12" t="s">
        <v>85</v>
      </c>
      <c r="B8" s="1" t="str">
        <f>A8</f>
        <v>Lafarge</v>
      </c>
      <c r="C8" s="1" t="str">
        <f t="shared" si="0"/>
        <v>Lafarge</v>
      </c>
      <c r="D8" s="155">
        <v>48.23</v>
      </c>
      <c r="E8" s="209">
        <v>2909</v>
      </c>
      <c r="F8" s="155">
        <v>41.91</v>
      </c>
      <c r="G8" s="209">
        <v>2528</v>
      </c>
      <c r="H8" s="155">
        <v>35.16</v>
      </c>
      <c r="I8" s="209">
        <v>2120</v>
      </c>
      <c r="J8" s="155">
        <v>35.79</v>
      </c>
      <c r="K8" s="209">
        <v>2158</v>
      </c>
      <c r="L8" s="155">
        <v>35.4</v>
      </c>
      <c r="M8" s="209">
        <v>2135</v>
      </c>
      <c r="N8" s="155">
        <v>27.16</v>
      </c>
      <c r="O8" s="209">
        <v>1638</v>
      </c>
      <c r="P8" s="31"/>
      <c r="Q8" s="14"/>
      <c r="R8" s="15"/>
      <c r="S8" s="14">
        <v>149.1</v>
      </c>
      <c r="T8" s="15">
        <v>624</v>
      </c>
      <c r="U8" s="14">
        <v>144</v>
      </c>
      <c r="V8" s="15">
        <v>603</v>
      </c>
      <c r="W8" s="16">
        <v>99.6</v>
      </c>
      <c r="X8" s="15">
        <v>417</v>
      </c>
      <c r="Y8" s="17">
        <f>560/AK1</f>
        <v>85.37144965294982</v>
      </c>
      <c r="Z8" s="18">
        <f>14416/AJ1</f>
        <v>357.36330531310193</v>
      </c>
      <c r="AA8" s="17">
        <f>563/AK1</f>
        <v>85.82879670466204</v>
      </c>
      <c r="AB8" s="18">
        <f>14484/AJ1</f>
        <v>359.0489812815599</v>
      </c>
      <c r="AC8" s="17">
        <f>831/AK1</f>
        <v>126.68513332428803</v>
      </c>
      <c r="AD8" s="18">
        <f>19136/AJ1</f>
        <v>474.3690490060709</v>
      </c>
      <c r="AE8" s="17">
        <f>818/AK1</f>
        <v>124.7032961002017</v>
      </c>
      <c r="AF8" s="18">
        <f>16662/AJ1</f>
        <v>413.0401909771715</v>
      </c>
      <c r="AG8" s="4">
        <f>748/AK1</f>
        <v>114.03186489358296</v>
      </c>
      <c r="AH8" s="18">
        <f>15243/AJ1</f>
        <v>377.8640998118488</v>
      </c>
      <c r="AI8" s="30" t="s">
        <v>6</v>
      </c>
    </row>
    <row r="9" spans="1:35" s="19" customFormat="1" ht="12.75">
      <c r="A9" s="12" t="s">
        <v>96</v>
      </c>
      <c r="B9" s="1" t="str">
        <f>A9</f>
        <v>Arkema</v>
      </c>
      <c r="C9" s="1" t="str">
        <f t="shared" si="0"/>
        <v>Arkema</v>
      </c>
      <c r="D9" s="155"/>
      <c r="E9" s="221"/>
      <c r="F9" s="155"/>
      <c r="G9" s="221"/>
      <c r="H9" s="155"/>
      <c r="I9" s="221"/>
      <c r="J9" s="155"/>
      <c r="K9" s="221"/>
      <c r="L9" s="155">
        <v>69.19</v>
      </c>
      <c r="M9" s="221">
        <v>429</v>
      </c>
      <c r="N9" s="155">
        <v>54.7</v>
      </c>
      <c r="O9" s="221">
        <v>339</v>
      </c>
      <c r="P9" s="31"/>
      <c r="Q9" s="14"/>
      <c r="R9" s="18"/>
      <c r="S9" s="33"/>
      <c r="T9" s="33" t="s">
        <v>16</v>
      </c>
      <c r="U9" s="34"/>
      <c r="V9" s="33" t="s">
        <v>16</v>
      </c>
      <c r="W9" s="35"/>
      <c r="X9" s="33" t="s">
        <v>16</v>
      </c>
      <c r="Y9" s="36"/>
      <c r="Z9" s="33" t="s">
        <v>16</v>
      </c>
      <c r="AA9" s="36"/>
      <c r="AB9" s="33"/>
      <c r="AC9" s="36"/>
      <c r="AD9" s="33"/>
      <c r="AE9" s="36"/>
      <c r="AF9" s="18"/>
      <c r="AG9" s="37"/>
      <c r="AH9" s="18"/>
      <c r="AI9" s="30"/>
    </row>
    <row r="10" spans="1:35" s="19" customFormat="1" ht="12.75">
      <c r="A10" s="30" t="s">
        <v>17</v>
      </c>
      <c r="B10" s="30" t="s">
        <v>18</v>
      </c>
      <c r="C10" s="30" t="s">
        <v>19</v>
      </c>
      <c r="D10" s="149"/>
      <c r="E10" s="196">
        <v>328</v>
      </c>
      <c r="F10" s="149"/>
      <c r="G10" s="196">
        <v>329</v>
      </c>
      <c r="H10" s="149"/>
      <c r="I10" s="196">
        <v>353</v>
      </c>
      <c r="J10" s="149"/>
      <c r="K10" s="196">
        <v>311.5</v>
      </c>
      <c r="L10" s="149"/>
      <c r="M10" s="196">
        <v>339</v>
      </c>
      <c r="N10" s="149"/>
      <c r="O10" s="196">
        <v>317</v>
      </c>
      <c r="P10" s="31"/>
      <c r="Q10" s="14"/>
      <c r="R10" s="15"/>
      <c r="S10" s="34"/>
      <c r="T10" s="15">
        <v>266</v>
      </c>
      <c r="U10" s="34"/>
      <c r="V10" s="15">
        <v>257</v>
      </c>
      <c r="W10" s="35"/>
      <c r="X10" s="15">
        <f>25+190</f>
        <v>215</v>
      </c>
      <c r="Y10" s="36" t="s">
        <v>3</v>
      </c>
      <c r="Z10" s="18">
        <f>7517/AJ1+1</f>
        <v>187.34156257204407</v>
      </c>
      <c r="AA10" s="36" t="s">
        <v>3</v>
      </c>
      <c r="AB10" s="18">
        <f>10221/AJ1</f>
        <v>253.371971670728</v>
      </c>
      <c r="AC10" s="36" t="s">
        <v>6</v>
      </c>
      <c r="AD10" s="18">
        <f>13264/AJ1</f>
        <v>328.80597125922475</v>
      </c>
      <c r="AE10" s="36" t="s">
        <v>6</v>
      </c>
      <c r="AF10" s="18">
        <f>15670/AJ1+1</f>
        <v>389.44915331966615</v>
      </c>
      <c r="AG10" s="37" t="s">
        <v>6</v>
      </c>
      <c r="AH10" s="18">
        <f>22978/AJ1</f>
        <v>569.6097412239495</v>
      </c>
      <c r="AI10" s="30" t="s">
        <v>6</v>
      </c>
    </row>
    <row r="11" spans="1:35" s="40" customFormat="1" ht="25.5">
      <c r="A11" s="38" t="s">
        <v>95</v>
      </c>
      <c r="B11" s="38" t="s">
        <v>90</v>
      </c>
      <c r="C11" s="38" t="s">
        <v>91</v>
      </c>
      <c r="D11" s="252"/>
      <c r="E11" s="196">
        <v>339</v>
      </c>
      <c r="F11" s="252"/>
      <c r="G11" s="196">
        <v>297</v>
      </c>
      <c r="H11" s="252"/>
      <c r="I11" s="196">
        <v>66</v>
      </c>
      <c r="J11" s="252"/>
      <c r="K11" s="196">
        <v>288.6</v>
      </c>
      <c r="L11" s="252"/>
      <c r="M11" s="196">
        <v>-693</v>
      </c>
      <c r="N11" s="252"/>
      <c r="O11" s="196">
        <v>-694</v>
      </c>
      <c r="P11" s="31"/>
      <c r="Q11" s="14"/>
      <c r="R11" s="15"/>
      <c r="S11" s="39"/>
      <c r="T11" s="40">
        <v>392</v>
      </c>
      <c r="U11" s="39"/>
      <c r="V11" s="40">
        <v>414</v>
      </c>
      <c r="W11" s="41"/>
      <c r="X11" s="40">
        <v>527</v>
      </c>
      <c r="Y11" s="42" t="s">
        <v>3</v>
      </c>
      <c r="Z11" s="42">
        <f>24308/AJ1</f>
        <v>602.5795800187904</v>
      </c>
      <c r="AA11" s="42" t="s">
        <v>3</v>
      </c>
      <c r="AB11" s="42">
        <f>22554/AJ1</f>
        <v>559.0990557735641</v>
      </c>
      <c r="AC11" s="42" t="s">
        <v>6</v>
      </c>
      <c r="AD11" s="42">
        <f>29104/AJ1</f>
        <v>721.4693145000359</v>
      </c>
      <c r="AE11" s="42" t="s">
        <v>6</v>
      </c>
      <c r="AF11" s="42">
        <f>48989/AJ1+1</f>
        <v>1215.4055885116225</v>
      </c>
      <c r="AG11" s="38" t="s">
        <v>6</v>
      </c>
      <c r="AH11" s="42">
        <f>37124/AJ1+1</f>
        <v>921.279921368174</v>
      </c>
      <c r="AI11" s="38" t="s">
        <v>6</v>
      </c>
    </row>
    <row r="12" spans="1:37" s="237" customFormat="1" ht="12.75">
      <c r="A12" s="113" t="s">
        <v>25</v>
      </c>
      <c r="B12" s="113" t="s">
        <v>26</v>
      </c>
      <c r="C12" s="113" t="s">
        <v>27</v>
      </c>
      <c r="D12" s="257"/>
      <c r="E12" s="231">
        <f>SUM(E2:E11)</f>
        <v>13247</v>
      </c>
      <c r="F12" s="257"/>
      <c r="G12" s="231">
        <f>SUM(G2:G11)</f>
        <v>12871</v>
      </c>
      <c r="H12" s="257"/>
      <c r="I12" s="231">
        <f>SUM(I2:I11)</f>
        <v>11815</v>
      </c>
      <c r="J12" s="257"/>
      <c r="K12" s="231">
        <f>SUM(K2:K11)</f>
        <v>12597.1</v>
      </c>
      <c r="L12" s="257"/>
      <c r="M12" s="231">
        <f>SUM(M2:M11)</f>
        <v>12838</v>
      </c>
      <c r="N12" s="257"/>
      <c r="O12" s="231">
        <f>SUM(O2:O11)</f>
        <v>11561</v>
      </c>
      <c r="P12" s="141"/>
      <c r="Q12" s="232"/>
      <c r="R12" s="116"/>
      <c r="S12" s="233"/>
      <c r="T12" s="116" t="e">
        <f>SUM(T3:T7:#REF!)-#REF!-T4</f>
        <v>#REF!</v>
      </c>
      <c r="U12" s="233"/>
      <c r="V12" s="116" t="e">
        <f>SUM(V3:V7:#REF!)-#REF!-V4</f>
        <v>#REF!</v>
      </c>
      <c r="W12" s="234"/>
      <c r="X12" s="116" t="e">
        <f>SUM(X3:X7:#REF!)-#REF!-X4</f>
        <v>#REF!</v>
      </c>
      <c r="Y12" s="235" t="s">
        <v>3</v>
      </c>
      <c r="Z12" s="116" t="e">
        <f>SUM(Z3:Z7:#REF!)-#REF!-Z4-1</f>
        <v>#REF!</v>
      </c>
      <c r="AA12" s="235" t="s">
        <v>3</v>
      </c>
      <c r="AB12" s="116">
        <f>SUM(AB7:AB11)</f>
        <v>3065.3273805834915</v>
      </c>
      <c r="AC12" s="235" t="s">
        <v>6</v>
      </c>
      <c r="AD12" s="116">
        <f>SUM(AD7:AD11)</f>
        <v>3345.174380700002</v>
      </c>
      <c r="AE12" s="235" t="s">
        <v>6</v>
      </c>
      <c r="AF12" s="116">
        <f>SUM(AF7:AF11)-2</f>
        <v>3035.728893725567</v>
      </c>
      <c r="AG12" s="236" t="s">
        <v>6</v>
      </c>
      <c r="AH12" s="116">
        <f>SUM(AH7:AH11)-1</f>
        <v>2563.615675794933</v>
      </c>
      <c r="AI12" s="113" t="s">
        <v>6</v>
      </c>
      <c r="AJ12" s="237">
        <f>236182/AJ1</f>
        <v>5854.798846799323</v>
      </c>
      <c r="AK12" s="237">
        <f>214263/AJ1</f>
        <v>5311.441029848859</v>
      </c>
    </row>
    <row r="13" spans="1:35" s="121" customFormat="1" ht="25.5" customHeight="1">
      <c r="A13" s="118" t="s">
        <v>28</v>
      </c>
      <c r="B13" s="118" t="s">
        <v>29</v>
      </c>
      <c r="C13" s="118" t="s">
        <v>30</v>
      </c>
      <c r="D13" s="258"/>
      <c r="E13" s="198">
        <v>82.1</v>
      </c>
      <c r="F13" s="258"/>
      <c r="G13" s="198">
        <v>79.77</v>
      </c>
      <c r="H13" s="258"/>
      <c r="I13" s="198">
        <v>73.22</v>
      </c>
      <c r="J13" s="258"/>
      <c r="K13" s="198">
        <v>78.07</v>
      </c>
      <c r="L13" s="258"/>
      <c r="M13" s="198">
        <v>79.56</v>
      </c>
      <c r="N13" s="258"/>
      <c r="O13" s="198">
        <v>71.65</v>
      </c>
      <c r="P13" s="142"/>
      <c r="Q13" s="261"/>
      <c r="R13" s="47"/>
      <c r="S13" s="120"/>
      <c r="T13" s="47">
        <v>289.33</v>
      </c>
      <c r="U13" s="120"/>
      <c r="V13" s="47">
        <v>256.53</v>
      </c>
      <c r="W13" s="239"/>
      <c r="X13" s="47">
        <v>256.53</v>
      </c>
      <c r="Y13" s="47" t="s">
        <v>3</v>
      </c>
      <c r="Z13" s="47">
        <v>239.64</v>
      </c>
      <c r="AA13" s="47" t="s">
        <v>3</v>
      </c>
      <c r="AB13" s="47">
        <v>217.47</v>
      </c>
      <c r="AC13" s="47"/>
      <c r="AD13" s="47">
        <v>238.97</v>
      </c>
      <c r="AE13" s="47" t="s">
        <v>6</v>
      </c>
      <c r="AF13" s="47">
        <v>206.87</v>
      </c>
      <c r="AG13" s="240" t="s">
        <v>6</v>
      </c>
      <c r="AH13" s="47">
        <v>178.36</v>
      </c>
      <c r="AI13" s="240" t="s">
        <v>6</v>
      </c>
    </row>
    <row r="14" spans="1:35" s="121" customFormat="1" ht="12.75">
      <c r="A14" s="118" t="s">
        <v>31</v>
      </c>
      <c r="B14" s="118" t="s">
        <v>32</v>
      </c>
      <c r="C14" s="118" t="s">
        <v>33</v>
      </c>
      <c r="D14" s="258"/>
      <c r="E14" s="199">
        <v>60.14</v>
      </c>
      <c r="F14" s="258"/>
      <c r="G14" s="199">
        <v>57.75</v>
      </c>
      <c r="H14" s="258"/>
      <c r="I14" s="199">
        <v>53.5</v>
      </c>
      <c r="J14" s="258"/>
      <c r="K14" s="199">
        <v>58.04</v>
      </c>
      <c r="L14" s="258"/>
      <c r="M14" s="199">
        <v>55.37</v>
      </c>
      <c r="N14" s="258"/>
      <c r="O14" s="199">
        <v>51.51</v>
      </c>
      <c r="P14" s="118"/>
      <c r="Q14" s="120"/>
      <c r="S14" s="120"/>
      <c r="T14" s="121">
        <v>186.9</v>
      </c>
      <c r="U14" s="120"/>
      <c r="V14" s="121">
        <v>163.9</v>
      </c>
      <c r="W14" s="239"/>
      <c r="X14" s="121">
        <v>167.5</v>
      </c>
      <c r="Y14" s="142" t="s">
        <v>3</v>
      </c>
      <c r="Z14" s="142">
        <v>173.53</v>
      </c>
      <c r="AA14" s="142" t="s">
        <v>3</v>
      </c>
      <c r="AB14" s="142">
        <v>160.64</v>
      </c>
      <c r="AC14" s="47" t="s">
        <v>6</v>
      </c>
      <c r="AD14" s="47">
        <v>186.17</v>
      </c>
      <c r="AE14" s="47" t="s">
        <v>6</v>
      </c>
      <c r="AF14" s="47">
        <v>160.64</v>
      </c>
      <c r="AG14" s="240" t="s">
        <v>6</v>
      </c>
      <c r="AH14" s="47">
        <v>132.87</v>
      </c>
      <c r="AI14" s="118" t="s">
        <v>6</v>
      </c>
    </row>
    <row r="15" spans="1:35" s="124" customFormat="1" ht="12.75">
      <c r="A15" s="122"/>
      <c r="B15" s="122"/>
      <c r="C15" s="122"/>
      <c r="D15" s="259"/>
      <c r="E15" s="200"/>
      <c r="F15" s="259"/>
      <c r="G15" s="200"/>
      <c r="H15" s="259"/>
      <c r="I15" s="200"/>
      <c r="J15" s="259"/>
      <c r="K15" s="200"/>
      <c r="L15" s="259"/>
      <c r="M15" s="200"/>
      <c r="N15" s="259"/>
      <c r="O15" s="200"/>
      <c r="P15" s="122"/>
      <c r="Q15" s="125"/>
      <c r="S15" s="125"/>
      <c r="T15" s="124">
        <v>0.354</v>
      </c>
      <c r="U15" s="125"/>
      <c r="V15" s="124">
        <v>0.443</v>
      </c>
      <c r="W15" s="262"/>
      <c r="X15" s="124">
        <v>0.347</v>
      </c>
      <c r="Y15" s="263" t="s">
        <v>3</v>
      </c>
      <c r="Z15" s="263">
        <v>0.276</v>
      </c>
      <c r="AA15" s="263" t="s">
        <v>3</v>
      </c>
      <c r="AB15" s="263">
        <v>0.26</v>
      </c>
      <c r="AC15" s="263" t="s">
        <v>6</v>
      </c>
      <c r="AD15" s="263">
        <v>0.221</v>
      </c>
      <c r="AE15" s="263" t="s">
        <v>6</v>
      </c>
      <c r="AF15" s="263">
        <v>0.224</v>
      </c>
      <c r="AG15" s="122" t="s">
        <v>6</v>
      </c>
      <c r="AH15" s="263">
        <v>0.255</v>
      </c>
      <c r="AI15" s="122" t="s">
        <v>6</v>
      </c>
    </row>
    <row r="16" spans="1:35" s="243" customFormat="1" ht="12.75">
      <c r="A16" s="126" t="s">
        <v>78</v>
      </c>
      <c r="B16" s="126" t="s">
        <v>82</v>
      </c>
      <c r="C16" s="264" t="s">
        <v>81</v>
      </c>
      <c r="D16" s="265"/>
      <c r="E16" s="267">
        <v>161358287</v>
      </c>
      <c r="F16" s="265"/>
      <c r="G16" s="267">
        <v>161358287</v>
      </c>
      <c r="H16" s="266"/>
      <c r="I16" s="267">
        <v>161358287</v>
      </c>
      <c r="J16" s="266"/>
      <c r="K16" s="267">
        <v>161358287</v>
      </c>
      <c r="L16" s="266"/>
      <c r="M16" s="267">
        <v>161358287</v>
      </c>
      <c r="N16" s="265"/>
      <c r="O16" s="267">
        <v>161358287</v>
      </c>
      <c r="P16" s="143"/>
      <c r="Q16" s="242"/>
      <c r="R16" s="43"/>
      <c r="S16" s="127"/>
      <c r="T16" s="43">
        <v>24432025</v>
      </c>
      <c r="U16" s="127"/>
      <c r="V16" s="43">
        <v>24432025</v>
      </c>
      <c r="W16" s="239"/>
      <c r="X16" s="43">
        <v>24432025</v>
      </c>
      <c r="Y16" s="47" t="s">
        <v>3</v>
      </c>
      <c r="Z16" s="43">
        <v>24432025</v>
      </c>
      <c r="AA16" s="47" t="s">
        <v>3</v>
      </c>
      <c r="AB16" s="43">
        <v>24458667</v>
      </c>
      <c r="AC16" s="47" t="s">
        <v>6</v>
      </c>
      <c r="AD16" s="43">
        <v>24402157</v>
      </c>
      <c r="AE16" s="47" t="s">
        <v>6</v>
      </c>
      <c r="AF16" s="43">
        <v>25783578</v>
      </c>
      <c r="AG16" s="240" t="s">
        <v>6</v>
      </c>
      <c r="AH16" s="43">
        <v>25783578</v>
      </c>
      <c r="AI16" s="126" t="s">
        <v>6</v>
      </c>
    </row>
    <row r="17" spans="5:17" ht="12.75">
      <c r="E17" s="221"/>
      <c r="G17" s="221"/>
      <c r="I17" s="221"/>
      <c r="Q17" s="16"/>
    </row>
    <row r="18" spans="1:30" s="19" customFormat="1" ht="12.75" customHeight="1">
      <c r="A18"/>
      <c r="B18" s="57"/>
      <c r="C18" s="58"/>
      <c r="D18" s="224"/>
      <c r="E18" s="225"/>
      <c r="F18" s="224"/>
      <c r="G18" s="225"/>
      <c r="H18" s="224"/>
      <c r="I18" s="225"/>
      <c r="J18" s="224"/>
      <c r="K18" s="225"/>
      <c r="L18" s="224"/>
      <c r="M18" s="225"/>
      <c r="N18" s="224"/>
      <c r="O18" s="225"/>
      <c r="P18" s="59"/>
      <c r="Q18" s="57"/>
      <c r="R18" s="60"/>
      <c r="T18" s="36"/>
      <c r="U18" s="30"/>
      <c r="V18" s="36"/>
      <c r="W18" s="33"/>
      <c r="X18" s="33"/>
      <c r="Y18" s="33"/>
      <c r="Z18" s="33"/>
      <c r="AA18" s="33"/>
      <c r="AB18" s="33"/>
      <c r="AC18" s="33"/>
      <c r="AD18" s="30"/>
    </row>
    <row r="19" spans="4:27" ht="12.75">
      <c r="D19" s="190"/>
      <c r="F19" s="190"/>
      <c r="H19" s="190"/>
      <c r="J19" s="190"/>
      <c r="L19" s="190"/>
      <c r="N19" s="190"/>
      <c r="Q19" s="16"/>
      <c r="U19" s="55"/>
      <c r="Y19" s="56"/>
      <c r="AA19"/>
    </row>
    <row r="20" spans="4:27" ht="12.75">
      <c r="D20" s="190"/>
      <c r="F20" s="190"/>
      <c r="H20" s="190"/>
      <c r="J20" s="190"/>
      <c r="L20" s="190"/>
      <c r="N20" s="190"/>
      <c r="Q20" s="16"/>
      <c r="U20" s="55"/>
      <c r="Y20" s="56"/>
      <c r="AA20"/>
    </row>
    <row r="21" spans="4:27" ht="12.75">
      <c r="D21" s="190"/>
      <c r="F21" s="190"/>
      <c r="H21" s="190"/>
      <c r="J21" s="190"/>
      <c r="L21" s="190"/>
      <c r="N21" s="190"/>
      <c r="Q21" s="16"/>
      <c r="U21" s="55"/>
      <c r="Y21" s="56"/>
      <c r="AA21"/>
    </row>
    <row r="22" spans="4:27" ht="12.75">
      <c r="D22" s="190"/>
      <c r="F22" s="190"/>
      <c r="H22" s="190"/>
      <c r="J22" s="190"/>
      <c r="L22" s="190"/>
      <c r="N22" s="190"/>
      <c r="Q22" s="16"/>
      <c r="U22" s="55"/>
      <c r="Y22" s="56"/>
      <c r="AA22"/>
    </row>
  </sheetData>
  <sheetProtection/>
  <printOptions/>
  <pageMargins left="0.28" right="0.2" top="0.984251969" bottom="0.984251969" header="0.4921259845" footer="0.4921259845"/>
  <pageSetup fitToHeight="1" fitToWidth="1" horizontalDpi="600" verticalDpi="600" orientation="landscape" paperSize="9" scale="60" r:id="rId1"/>
  <headerFooter alignWithMargins="0">
    <oddHeader>&amp;L"FR NL UK VAC trimestrielle.xls"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N22"/>
  <sheetViews>
    <sheetView showGridLines="0" zoomScale="85" zoomScaleNormal="85" zoomScalePageLayoutView="0" workbookViewId="0" topLeftCell="A1">
      <selection activeCell="I57" sqref="I57"/>
    </sheetView>
  </sheetViews>
  <sheetFormatPr defaultColWidth="11.421875" defaultRowHeight="12.75"/>
  <cols>
    <col min="1" max="1" width="28.140625" style="0" bestFit="1" customWidth="1"/>
    <col min="2" max="2" width="35.8515625" style="0" bestFit="1" customWidth="1"/>
    <col min="3" max="3" width="32.00390625" style="0" bestFit="1" customWidth="1"/>
    <col min="4" max="4" width="14.140625" style="191" customWidth="1"/>
    <col min="5" max="5" width="12.421875" style="203" customWidth="1"/>
    <col min="6" max="6" width="13.421875" style="191" customWidth="1"/>
    <col min="7" max="7" width="12.421875" style="203" customWidth="1"/>
    <col min="8" max="8" width="12.8515625" style="191" customWidth="1"/>
    <col min="9" max="9" width="12.421875" style="203" customWidth="1"/>
    <col min="10" max="10" width="13.8515625" style="191" customWidth="1"/>
    <col min="11" max="11" width="12.421875" style="203" customWidth="1"/>
    <col min="12" max="12" width="12.8515625" style="191" customWidth="1"/>
    <col min="13" max="13" width="12.421875" style="203" customWidth="1"/>
    <col min="14" max="14" width="12.421875" style="0" customWidth="1"/>
    <col min="15" max="15" width="11.421875" style="54" customWidth="1"/>
    <col min="16" max="16" width="11.421875" style="0" customWidth="1"/>
    <col min="17" max="17" width="9.140625" style="54" hidden="1" customWidth="1"/>
    <col min="18" max="18" width="9.140625" style="0" hidden="1" customWidth="1"/>
    <col min="19" max="19" width="9.140625" style="54" hidden="1" customWidth="1"/>
    <col min="20" max="20" width="9.140625" style="0" hidden="1" customWidth="1"/>
    <col min="21" max="21" width="11.57421875" style="55" hidden="1" customWidth="1"/>
    <col min="22" max="22" width="9.140625" style="0" hidden="1" customWidth="1"/>
    <col min="23" max="23" width="9.140625" style="55" hidden="1" customWidth="1"/>
    <col min="24" max="24" width="9.140625" style="0" hidden="1" customWidth="1"/>
    <col min="25" max="25" width="11.57421875" style="56" hidden="1" customWidth="1"/>
    <col min="26" max="28" width="9.140625" style="0" hidden="1" customWidth="1"/>
    <col min="29" max="32" width="11.421875" style="0" hidden="1" customWidth="1"/>
    <col min="33" max="33" width="11.421875" style="0" customWidth="1"/>
    <col min="34" max="35" width="9.140625" style="0" hidden="1" customWidth="1"/>
  </cols>
  <sheetData>
    <row r="1" spans="1:35" s="87" customFormat="1" ht="12.75">
      <c r="A1" s="79" t="s">
        <v>0</v>
      </c>
      <c r="B1" s="79" t="s">
        <v>1</v>
      </c>
      <c r="C1" s="79" t="s">
        <v>2</v>
      </c>
      <c r="D1" s="144"/>
      <c r="E1" s="256">
        <v>41639</v>
      </c>
      <c r="F1" s="144"/>
      <c r="G1" s="256">
        <v>41547</v>
      </c>
      <c r="H1" s="144"/>
      <c r="I1" s="256">
        <v>41455</v>
      </c>
      <c r="J1" s="144"/>
      <c r="K1" s="256">
        <v>41364</v>
      </c>
      <c r="L1" s="144"/>
      <c r="M1" s="256">
        <v>41274</v>
      </c>
      <c r="N1" s="88"/>
      <c r="O1" s="89"/>
      <c r="P1" s="88"/>
      <c r="Q1" s="82"/>
      <c r="R1" s="81">
        <v>36420</v>
      </c>
      <c r="S1" s="82"/>
      <c r="T1" s="81">
        <v>36341</v>
      </c>
      <c r="U1" s="81"/>
      <c r="V1" s="81">
        <v>36231</v>
      </c>
      <c r="W1" s="81"/>
      <c r="X1" s="81">
        <v>36160</v>
      </c>
      <c r="Y1" s="83"/>
      <c r="Z1" s="81">
        <v>36052</v>
      </c>
      <c r="AA1" s="84" t="s">
        <v>3</v>
      </c>
      <c r="AB1" s="85">
        <v>35976</v>
      </c>
      <c r="AC1" s="84" t="s">
        <v>3</v>
      </c>
      <c r="AD1" s="85">
        <v>35884</v>
      </c>
      <c r="AE1" s="86" t="s">
        <v>3</v>
      </c>
      <c r="AF1" s="85">
        <v>35795</v>
      </c>
      <c r="AH1" s="87">
        <v>40.3399</v>
      </c>
      <c r="AI1" s="87">
        <v>6.55957</v>
      </c>
    </row>
    <row r="2" spans="1:33" s="19" customFormat="1" ht="12.75">
      <c r="A2" s="30" t="s">
        <v>83</v>
      </c>
      <c r="B2" s="1" t="str">
        <f>A2</f>
        <v>Total</v>
      </c>
      <c r="C2" s="1" t="str">
        <f aca="true" t="shared" si="0" ref="C2:C8">A2</f>
        <v>Total</v>
      </c>
      <c r="D2" s="155">
        <v>44.53</v>
      </c>
      <c r="E2" s="196">
        <v>3818</v>
      </c>
      <c r="F2" s="155">
        <v>42.9</v>
      </c>
      <c r="G2" s="196">
        <v>4030</v>
      </c>
      <c r="H2" s="155">
        <v>37.51</v>
      </c>
      <c r="I2" s="196">
        <v>3523</v>
      </c>
      <c r="J2" s="155">
        <v>37.36</v>
      </c>
      <c r="K2" s="196">
        <v>3509</v>
      </c>
      <c r="L2" s="155"/>
      <c r="M2" s="196">
        <v>3665</v>
      </c>
      <c r="N2" s="31"/>
      <c r="O2" s="14"/>
      <c r="P2" s="15"/>
      <c r="Q2" s="14">
        <v>120.9</v>
      </c>
      <c r="R2" s="15">
        <v>2351</v>
      </c>
      <c r="S2" s="14">
        <v>125.1</v>
      </c>
      <c r="T2" s="15">
        <v>2399</v>
      </c>
      <c r="U2" s="32">
        <f>460.3/4.5</f>
        <v>102.28888888888889</v>
      </c>
      <c r="V2" s="15">
        <v>1921</v>
      </c>
      <c r="W2" s="17">
        <v>86.76</v>
      </c>
      <c r="X2" s="18">
        <v>1590</v>
      </c>
      <c r="Y2" s="17" t="e">
        <f>12875/(#REF!*4.5)</f>
        <v>#REF!</v>
      </c>
      <c r="Z2" s="18" t="e">
        <f>52109/#REF!</f>
        <v>#REF!</v>
      </c>
      <c r="AA2" s="17" t="e">
        <f>15275/(#REF!*4.5)</f>
        <v>#REF!</v>
      </c>
      <c r="AB2" s="18" t="e">
        <f>61445/#REF!</f>
        <v>#REF!</v>
      </c>
      <c r="AC2" s="17" t="e">
        <f>13950/#REF!</f>
        <v>#REF!</v>
      </c>
      <c r="AD2" s="18" t="e">
        <f>38455/#REF!</f>
        <v>#REF!</v>
      </c>
      <c r="AE2" s="4" t="e">
        <f>13675/#REF!</f>
        <v>#REF!</v>
      </c>
      <c r="AF2" s="18" t="e">
        <f>35072/#REF!</f>
        <v>#REF!</v>
      </c>
      <c r="AG2" s="30" t="s">
        <v>6</v>
      </c>
    </row>
    <row r="3" spans="1:33" s="19" customFormat="1" ht="12.75">
      <c r="A3" s="12" t="s">
        <v>85</v>
      </c>
      <c r="B3" s="1" t="str">
        <f>A3</f>
        <v>Lafarge</v>
      </c>
      <c r="C3" s="1" t="str">
        <f t="shared" si="0"/>
        <v>Lafarge</v>
      </c>
      <c r="D3" s="155">
        <v>54.47</v>
      </c>
      <c r="E3" s="209">
        <v>3285</v>
      </c>
      <c r="F3" s="155">
        <v>51.49</v>
      </c>
      <c r="G3" s="209">
        <v>3105</v>
      </c>
      <c r="H3" s="155">
        <v>47.24</v>
      </c>
      <c r="I3" s="209">
        <v>2849</v>
      </c>
      <c r="J3" s="155">
        <v>51.83</v>
      </c>
      <c r="K3" s="209">
        <v>3126</v>
      </c>
      <c r="L3" s="155"/>
      <c r="M3" s="209">
        <v>2909</v>
      </c>
      <c r="N3" s="31"/>
      <c r="O3" s="14"/>
      <c r="P3" s="15"/>
      <c r="Q3" s="14">
        <v>149.1</v>
      </c>
      <c r="R3" s="15">
        <v>624</v>
      </c>
      <c r="S3" s="14">
        <v>144</v>
      </c>
      <c r="T3" s="15">
        <v>603</v>
      </c>
      <c r="U3" s="16">
        <v>99.6</v>
      </c>
      <c r="V3" s="15">
        <v>417</v>
      </c>
      <c r="W3" s="17">
        <f>560/AI1</f>
        <v>85.37144965294982</v>
      </c>
      <c r="X3" s="18">
        <f>14416/AH1</f>
        <v>357.36330531310193</v>
      </c>
      <c r="Y3" s="17">
        <f>563/AI1</f>
        <v>85.82879670466204</v>
      </c>
      <c r="Z3" s="18">
        <f>14484/AH1</f>
        <v>359.0489812815599</v>
      </c>
      <c r="AA3" s="17">
        <f>831/AI1</f>
        <v>126.68513332428803</v>
      </c>
      <c r="AB3" s="18">
        <f>19136/AH1</f>
        <v>474.3690490060709</v>
      </c>
      <c r="AC3" s="17">
        <f>818/AI1</f>
        <v>124.7032961002017</v>
      </c>
      <c r="AD3" s="18">
        <f>16662/AH1</f>
        <v>413.0401909771715</v>
      </c>
      <c r="AE3" s="4">
        <f>748/AI1</f>
        <v>114.03186489358296</v>
      </c>
      <c r="AF3" s="18">
        <f>15243/AH1</f>
        <v>377.8640998118488</v>
      </c>
      <c r="AG3" s="30" t="s">
        <v>6</v>
      </c>
    </row>
    <row r="4" spans="1:33" s="19" customFormat="1" ht="12.75">
      <c r="A4" s="30" t="s">
        <v>88</v>
      </c>
      <c r="B4" s="1" t="str">
        <f>A4</f>
        <v>Imerys </v>
      </c>
      <c r="C4" s="1" t="str">
        <f t="shared" si="0"/>
        <v>Imerys </v>
      </c>
      <c r="D4" s="155">
        <v>63.21</v>
      </c>
      <c r="E4" s="196">
        <v>2709</v>
      </c>
      <c r="F4" s="155">
        <v>51.61</v>
      </c>
      <c r="G4" s="196">
        <v>2212</v>
      </c>
      <c r="H4" s="155">
        <v>47.08</v>
      </c>
      <c r="I4" s="196">
        <v>2017</v>
      </c>
      <c r="J4" s="155">
        <v>50.79</v>
      </c>
      <c r="K4" s="196">
        <v>2176</v>
      </c>
      <c r="L4" s="155"/>
      <c r="M4" s="196">
        <v>2065</v>
      </c>
      <c r="N4" s="31"/>
      <c r="O4" s="14"/>
      <c r="P4" s="18"/>
      <c r="Q4" s="14">
        <v>159.9</v>
      </c>
      <c r="R4" s="18">
        <v>2134</v>
      </c>
      <c r="S4" s="14">
        <v>174.9</v>
      </c>
      <c r="T4" s="18">
        <v>2278</v>
      </c>
      <c r="U4" s="17">
        <v>173.2</v>
      </c>
      <c r="V4" s="18">
        <v>2197</v>
      </c>
      <c r="W4" s="17">
        <f>1148/AI1</f>
        <v>175.0114717885471</v>
      </c>
      <c r="X4" s="18">
        <f>85728/AH1</f>
        <v>2125.1416091760266</v>
      </c>
      <c r="Y4" s="17">
        <f>1029/AI1</f>
        <v>156.8700387372953</v>
      </c>
      <c r="Z4" s="18">
        <f>76396/AH1</f>
        <v>1893.8073718576397</v>
      </c>
      <c r="AA4" s="17">
        <f>995/AI1</f>
        <v>151.68677215122332</v>
      </c>
      <c r="AB4" s="18">
        <f>73440/AH1</f>
        <v>1820.5300459346702</v>
      </c>
      <c r="AC4" s="17">
        <f>889/AI1</f>
        <v>135.52717632405782</v>
      </c>
      <c r="AD4" s="18">
        <f>41140/AH1</f>
        <v>1019.8339609171069</v>
      </c>
      <c r="AE4" s="4">
        <f>666/AI1</f>
        <v>101.53104548011531</v>
      </c>
      <c r="AF4" s="18">
        <f>28071/AH1</f>
        <v>695.8619133909604</v>
      </c>
      <c r="AG4" s="30" t="s">
        <v>6</v>
      </c>
    </row>
    <row r="5" spans="1:32" s="281" customFormat="1" ht="12.75">
      <c r="A5" s="30" t="s">
        <v>97</v>
      </c>
      <c r="B5" s="1" t="str">
        <f>A5</f>
        <v>SGS</v>
      </c>
      <c r="C5" s="1" t="str">
        <f t="shared" si="0"/>
        <v>SGS</v>
      </c>
      <c r="D5" s="282" t="s">
        <v>107</v>
      </c>
      <c r="E5" s="196">
        <v>1962</v>
      </c>
      <c r="F5" s="282" t="s">
        <v>108</v>
      </c>
      <c r="G5" s="196">
        <v>2070</v>
      </c>
      <c r="H5" s="282" t="s">
        <v>109</v>
      </c>
      <c r="I5" s="196">
        <v>1937</v>
      </c>
      <c r="J5" s="272"/>
      <c r="K5" s="196"/>
      <c r="L5" s="272"/>
      <c r="M5" s="196"/>
      <c r="N5" s="273"/>
      <c r="O5" s="274"/>
      <c r="P5" s="273"/>
      <c r="Q5" s="275"/>
      <c r="R5" s="276"/>
      <c r="S5" s="275"/>
      <c r="T5" s="276"/>
      <c r="U5" s="276"/>
      <c r="V5" s="276"/>
      <c r="W5" s="276"/>
      <c r="X5" s="276"/>
      <c r="Y5" s="277"/>
      <c r="Z5" s="276"/>
      <c r="AA5" s="278"/>
      <c r="AB5" s="279"/>
      <c r="AC5" s="278"/>
      <c r="AD5" s="279"/>
      <c r="AE5" s="280"/>
      <c r="AF5" s="279"/>
    </row>
    <row r="6" spans="1:33" s="19" customFormat="1" ht="12.75">
      <c r="A6" s="1" t="s">
        <v>86</v>
      </c>
      <c r="B6" s="1" t="str">
        <f>A6</f>
        <v>Pernod Ricard</v>
      </c>
      <c r="C6" s="1" t="str">
        <f t="shared" si="0"/>
        <v>Pernod Ricard</v>
      </c>
      <c r="D6" s="149">
        <v>82.81</v>
      </c>
      <c r="E6" s="194">
        <v>1647</v>
      </c>
      <c r="F6" s="149">
        <v>91.79</v>
      </c>
      <c r="G6" s="194">
        <v>1826</v>
      </c>
      <c r="H6" s="149">
        <v>85.19</v>
      </c>
      <c r="I6" s="194">
        <v>1695</v>
      </c>
      <c r="J6" s="149">
        <v>97.21</v>
      </c>
      <c r="K6" s="194">
        <v>1934</v>
      </c>
      <c r="L6" s="149"/>
      <c r="M6" s="194">
        <v>1739</v>
      </c>
      <c r="N6" s="13"/>
      <c r="O6" s="14"/>
      <c r="P6" s="15"/>
      <c r="Q6" s="14">
        <v>48.35</v>
      </c>
      <c r="R6" s="15">
        <v>1302</v>
      </c>
      <c r="S6" s="14">
        <v>46.55</v>
      </c>
      <c r="T6" s="15">
        <v>1242</v>
      </c>
      <c r="U6" s="16">
        <v>37.45</v>
      </c>
      <c r="V6" s="15">
        <v>991</v>
      </c>
      <c r="W6" s="17">
        <f>1550/AH1</f>
        <v>38.42349633985211</v>
      </c>
      <c r="X6" s="18">
        <f>40072/AH1</f>
        <v>993.3589324713249</v>
      </c>
      <c r="Y6" s="17">
        <f>1498/AH1</f>
        <v>37.13445001103126</v>
      </c>
      <c r="Z6" s="18">
        <f>38499/AH1</f>
        <v>954.3652810244944</v>
      </c>
      <c r="AA6" s="17">
        <f>1520/AH1</f>
        <v>37.67981576553239</v>
      </c>
      <c r="AB6" s="18">
        <f>38837/AH1</f>
        <v>962.7440821618299</v>
      </c>
      <c r="AC6" s="17">
        <f>1510/AH1</f>
        <v>37.43192224075915</v>
      </c>
      <c r="AD6" s="18">
        <f>26966/AH1</f>
        <v>668.4696789035173</v>
      </c>
      <c r="AE6" s="4">
        <f>1510/AH1</f>
        <v>37.43192224075915</v>
      </c>
      <c r="AF6" s="18">
        <f>25184/AH1</f>
        <v>624.2950527889261</v>
      </c>
      <c r="AG6" s="12" t="s">
        <v>6</v>
      </c>
    </row>
    <row r="7" spans="1:170" s="29" customFormat="1" ht="12.75">
      <c r="A7" s="1" t="s">
        <v>93</v>
      </c>
      <c r="B7" s="1" t="s">
        <v>93</v>
      </c>
      <c r="C7" s="1" t="str">
        <f t="shared" si="0"/>
        <v>GDF SUEZ</v>
      </c>
      <c r="D7" s="149">
        <v>17.1</v>
      </c>
      <c r="E7" s="209">
        <v>935</v>
      </c>
      <c r="F7" s="149" t="s">
        <v>105</v>
      </c>
      <c r="G7" s="209">
        <v>1002</v>
      </c>
      <c r="H7" s="149">
        <v>15.05</v>
      </c>
      <c r="I7" s="209">
        <v>823</v>
      </c>
      <c r="J7" s="149">
        <v>15.02</v>
      </c>
      <c r="K7" s="209">
        <v>1760</v>
      </c>
      <c r="L7" s="149"/>
      <c r="M7" s="209">
        <v>1825</v>
      </c>
      <c r="N7" s="21"/>
      <c r="O7" s="22"/>
      <c r="P7" s="23"/>
      <c r="Q7" s="24"/>
      <c r="R7" s="25"/>
      <c r="S7" s="24"/>
      <c r="T7" s="25"/>
      <c r="U7" s="26"/>
      <c r="V7" s="25"/>
      <c r="W7" s="27"/>
      <c r="X7" s="28"/>
      <c r="Y7" s="27"/>
      <c r="Z7" s="28"/>
      <c r="AA7" s="27"/>
      <c r="AB7" s="28"/>
      <c r="AC7" s="27"/>
      <c r="AD7" s="28"/>
      <c r="AE7" s="27"/>
      <c r="AF7" s="28"/>
      <c r="AG7" s="28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</row>
    <row r="8" spans="1:170" s="29" customFormat="1" ht="12.75">
      <c r="A8" s="1" t="s">
        <v>94</v>
      </c>
      <c r="B8" s="1" t="s">
        <v>94</v>
      </c>
      <c r="C8" s="1" t="str">
        <f t="shared" si="0"/>
        <v>Suez Environnement</v>
      </c>
      <c r="D8" s="149" t="s">
        <v>100</v>
      </c>
      <c r="E8" s="209">
        <v>401</v>
      </c>
      <c r="F8" s="149" t="s">
        <v>106</v>
      </c>
      <c r="G8" s="209">
        <v>401</v>
      </c>
      <c r="H8" s="149">
        <v>9.92</v>
      </c>
      <c r="I8" s="209">
        <v>347</v>
      </c>
      <c r="J8" s="149">
        <v>9.95</v>
      </c>
      <c r="K8" s="209">
        <v>348</v>
      </c>
      <c r="L8" s="149"/>
      <c r="M8" s="209">
        <v>319</v>
      </c>
      <c r="N8" s="21"/>
      <c r="O8" s="22"/>
      <c r="P8" s="23"/>
      <c r="Q8" s="24"/>
      <c r="R8" s="25"/>
      <c r="S8" s="24"/>
      <c r="T8" s="25"/>
      <c r="U8" s="26"/>
      <c r="V8" s="25"/>
      <c r="W8" s="27"/>
      <c r="X8" s="28"/>
      <c r="Y8" s="27"/>
      <c r="Z8" s="28"/>
      <c r="AA8" s="27"/>
      <c r="AB8" s="28"/>
      <c r="AC8" s="27"/>
      <c r="AD8" s="28"/>
      <c r="AE8" s="27"/>
      <c r="AF8" s="28"/>
      <c r="AG8" s="28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</row>
    <row r="9" spans="1:33" s="19" customFormat="1" ht="12.75">
      <c r="A9" s="12" t="s">
        <v>102</v>
      </c>
      <c r="B9" s="1" t="s">
        <v>104</v>
      </c>
      <c r="C9" s="1" t="s">
        <v>98</v>
      </c>
      <c r="D9" s="155"/>
      <c r="E9" s="221">
        <v>254</v>
      </c>
      <c r="F9" s="155"/>
      <c r="G9" s="221">
        <v>225</v>
      </c>
      <c r="H9" s="155"/>
      <c r="I9" s="221">
        <v>159</v>
      </c>
      <c r="J9" s="155"/>
      <c r="K9" s="221"/>
      <c r="L9" s="155"/>
      <c r="M9" s="221">
        <v>71</v>
      </c>
      <c r="N9" s="31"/>
      <c r="O9" s="14"/>
      <c r="P9" s="18"/>
      <c r="Q9" s="33"/>
      <c r="R9" s="33" t="s">
        <v>16</v>
      </c>
      <c r="S9" s="34"/>
      <c r="T9" s="33" t="s">
        <v>16</v>
      </c>
      <c r="U9" s="35"/>
      <c r="V9" s="33" t="s">
        <v>16</v>
      </c>
      <c r="W9" s="36"/>
      <c r="X9" s="33" t="s">
        <v>16</v>
      </c>
      <c r="Y9" s="36"/>
      <c r="Z9" s="33"/>
      <c r="AA9" s="36"/>
      <c r="AB9" s="33"/>
      <c r="AC9" s="36"/>
      <c r="AD9" s="18"/>
      <c r="AE9" s="37"/>
      <c r="AF9" s="18"/>
      <c r="AG9" s="30"/>
    </row>
    <row r="10" spans="1:33" s="19" customFormat="1" ht="12.75">
      <c r="A10" s="30" t="s">
        <v>101</v>
      </c>
      <c r="B10" s="30" t="s">
        <v>103</v>
      </c>
      <c r="C10" s="30" t="s">
        <v>99</v>
      </c>
      <c r="D10" s="149"/>
      <c r="E10" s="196">
        <v>402</v>
      </c>
      <c r="F10" s="149"/>
      <c r="G10" s="196">
        <v>370</v>
      </c>
      <c r="H10" s="149"/>
      <c r="I10" s="196">
        <v>327</v>
      </c>
      <c r="J10" s="149"/>
      <c r="K10" s="196">
        <f>383+43</f>
        <v>426</v>
      </c>
      <c r="L10" s="149"/>
      <c r="M10" s="196">
        <v>315</v>
      </c>
      <c r="N10" s="31"/>
      <c r="O10" s="14"/>
      <c r="P10" s="15"/>
      <c r="Q10" s="34"/>
      <c r="R10" s="15">
        <v>266</v>
      </c>
      <c r="S10" s="34"/>
      <c r="T10" s="15">
        <v>257</v>
      </c>
      <c r="U10" s="35"/>
      <c r="V10" s="15">
        <f>25+190</f>
        <v>215</v>
      </c>
      <c r="W10" s="36" t="s">
        <v>3</v>
      </c>
      <c r="X10" s="18">
        <f>7517/AH1+1</f>
        <v>187.34156257204407</v>
      </c>
      <c r="Y10" s="36" t="s">
        <v>3</v>
      </c>
      <c r="Z10" s="18">
        <f>10221/AH1</f>
        <v>253.371971670728</v>
      </c>
      <c r="AA10" s="36" t="s">
        <v>6</v>
      </c>
      <c r="AB10" s="18">
        <f>13264/AH1</f>
        <v>328.80597125922475</v>
      </c>
      <c r="AC10" s="36" t="s">
        <v>6</v>
      </c>
      <c r="AD10" s="18">
        <f>15670/AH1+1</f>
        <v>389.44915331966615</v>
      </c>
      <c r="AE10" s="37" t="s">
        <v>6</v>
      </c>
      <c r="AF10" s="18">
        <f>22978/AH1</f>
        <v>569.6097412239495</v>
      </c>
      <c r="AG10" s="30" t="s">
        <v>6</v>
      </c>
    </row>
    <row r="11" spans="1:33" s="40" customFormat="1" ht="25.5">
      <c r="A11" s="38" t="s">
        <v>95</v>
      </c>
      <c r="B11" s="38" t="s">
        <v>90</v>
      </c>
      <c r="C11" s="38" t="s">
        <v>91</v>
      </c>
      <c r="D11" s="252"/>
      <c r="E11" s="196">
        <v>-496</v>
      </c>
      <c r="F11" s="252"/>
      <c r="G11" s="196">
        <v>-895.6</v>
      </c>
      <c r="H11" s="252"/>
      <c r="I11" s="196">
        <f>I12-SUM(I2:I10)</f>
        <v>-947</v>
      </c>
      <c r="J11" s="252"/>
      <c r="K11" s="196">
        <f>K12-SUM(K2:K10)</f>
        <v>321</v>
      </c>
      <c r="L11" s="252"/>
      <c r="M11" s="196">
        <f>366-401-950+1324</f>
        <v>339</v>
      </c>
      <c r="N11" s="31"/>
      <c r="O11" s="14"/>
      <c r="P11" s="15"/>
      <c r="Q11" s="39"/>
      <c r="R11" s="40">
        <v>392</v>
      </c>
      <c r="S11" s="39"/>
      <c r="T11" s="40">
        <v>414</v>
      </c>
      <c r="U11" s="41"/>
      <c r="V11" s="40">
        <v>527</v>
      </c>
      <c r="W11" s="42" t="s">
        <v>3</v>
      </c>
      <c r="X11" s="42">
        <f>24308/AH1</f>
        <v>602.5795800187904</v>
      </c>
      <c r="Y11" s="42" t="s">
        <v>3</v>
      </c>
      <c r="Z11" s="42">
        <f>22554/AH1</f>
        <v>559.0990557735641</v>
      </c>
      <c r="AA11" s="42" t="s">
        <v>6</v>
      </c>
      <c r="AB11" s="42">
        <f>29104/AH1</f>
        <v>721.4693145000359</v>
      </c>
      <c r="AC11" s="42" t="s">
        <v>6</v>
      </c>
      <c r="AD11" s="42">
        <f>48989/AH1+1</f>
        <v>1215.4055885116225</v>
      </c>
      <c r="AE11" s="38" t="s">
        <v>6</v>
      </c>
      <c r="AF11" s="42">
        <f>37124/AH1+1</f>
        <v>921.279921368174</v>
      </c>
      <c r="AG11" s="38" t="s">
        <v>6</v>
      </c>
    </row>
    <row r="12" spans="1:35" s="237" customFormat="1" ht="12.75">
      <c r="A12" s="113" t="s">
        <v>25</v>
      </c>
      <c r="B12" s="113" t="s">
        <v>26</v>
      </c>
      <c r="C12" s="113" t="s">
        <v>27</v>
      </c>
      <c r="D12" s="257"/>
      <c r="E12" s="231">
        <v>14917</v>
      </c>
      <c r="F12" s="257"/>
      <c r="G12" s="231">
        <v>14345</v>
      </c>
      <c r="H12" s="257"/>
      <c r="I12" s="231">
        <v>12730</v>
      </c>
      <c r="J12" s="257"/>
      <c r="K12" s="231">
        <v>13600</v>
      </c>
      <c r="L12" s="257"/>
      <c r="M12" s="231">
        <f>SUM(M2:M11)</f>
        <v>13247</v>
      </c>
      <c r="N12" s="141"/>
      <c r="O12" s="232"/>
      <c r="P12" s="116"/>
      <c r="Q12" s="233"/>
      <c r="R12" s="116" t="e">
        <f>SUM(R6:R8:#REF!)-#REF!-R7</f>
        <v>#REF!</v>
      </c>
      <c r="S12" s="233"/>
      <c r="T12" s="116" t="e">
        <f>SUM(T6:T8:#REF!)-#REF!-T7</f>
        <v>#REF!</v>
      </c>
      <c r="U12" s="234"/>
      <c r="V12" s="116" t="e">
        <f>SUM(V6:V8:#REF!)-#REF!-V7</f>
        <v>#REF!</v>
      </c>
      <c r="W12" s="235" t="s">
        <v>3</v>
      </c>
      <c r="X12" s="116" t="e">
        <f>SUM(X6:X8:#REF!)-#REF!-X7-1</f>
        <v>#REF!</v>
      </c>
      <c r="Y12" s="235" t="s">
        <v>3</v>
      </c>
      <c r="Z12" s="116">
        <f>SUM(Z4:Z11)</f>
        <v>3660.643680326426</v>
      </c>
      <c r="AA12" s="235" t="s">
        <v>6</v>
      </c>
      <c r="AB12" s="116">
        <f>SUM(AB4:AB11)</f>
        <v>3833.549413855761</v>
      </c>
      <c r="AC12" s="235" t="s">
        <v>6</v>
      </c>
      <c r="AD12" s="116">
        <f>SUM(AD4:AD11)-2</f>
        <v>3291.1583816519124</v>
      </c>
      <c r="AE12" s="236" t="s">
        <v>6</v>
      </c>
      <c r="AF12" s="116">
        <f>SUM(AF4:AF11)-1</f>
        <v>2810.04662877201</v>
      </c>
      <c r="AG12" s="113" t="s">
        <v>6</v>
      </c>
      <c r="AH12" s="237">
        <f>236182/AH1</f>
        <v>5854.798846799323</v>
      </c>
      <c r="AI12" s="237">
        <f>214263/AH1</f>
        <v>5311.441029848859</v>
      </c>
    </row>
    <row r="13" spans="1:33" s="121" customFormat="1" ht="25.5" customHeight="1">
      <c r="A13" s="118" t="s">
        <v>28</v>
      </c>
      <c r="B13" s="118" t="s">
        <v>29</v>
      </c>
      <c r="C13" s="118" t="s">
        <v>30</v>
      </c>
      <c r="D13" s="258"/>
      <c r="E13" s="198">
        <f>E12/E16*1000000</f>
        <v>92.44644497248537</v>
      </c>
      <c r="F13" s="258"/>
      <c r="G13" s="198">
        <v>88.91</v>
      </c>
      <c r="H13" s="258"/>
      <c r="I13" s="198">
        <v>78.89</v>
      </c>
      <c r="J13" s="258"/>
      <c r="K13" s="198">
        <v>84.28</v>
      </c>
      <c r="L13" s="258"/>
      <c r="M13" s="198">
        <f>M12/M16*1000000</f>
        <v>82.09680609710489</v>
      </c>
      <c r="N13" s="142"/>
      <c r="O13" s="261"/>
      <c r="P13" s="47"/>
      <c r="Q13" s="120"/>
      <c r="R13" s="47">
        <v>289.33</v>
      </c>
      <c r="S13" s="120"/>
      <c r="T13" s="47">
        <v>256.53</v>
      </c>
      <c r="U13" s="239"/>
      <c r="V13" s="47">
        <v>256.53</v>
      </c>
      <c r="W13" s="47" t="s">
        <v>3</v>
      </c>
      <c r="X13" s="47">
        <v>239.64</v>
      </c>
      <c r="Y13" s="47" t="s">
        <v>3</v>
      </c>
      <c r="Z13" s="47">
        <v>217.47</v>
      </c>
      <c r="AA13" s="47"/>
      <c r="AB13" s="47">
        <v>238.97</v>
      </c>
      <c r="AC13" s="47" t="s">
        <v>6</v>
      </c>
      <c r="AD13" s="47">
        <v>206.87</v>
      </c>
      <c r="AE13" s="240" t="s">
        <v>6</v>
      </c>
      <c r="AF13" s="47">
        <v>178.36</v>
      </c>
      <c r="AG13" s="240" t="s">
        <v>6</v>
      </c>
    </row>
    <row r="14" spans="1:33" s="121" customFormat="1" ht="12.75">
      <c r="A14" s="118" t="s">
        <v>31</v>
      </c>
      <c r="B14" s="118" t="s">
        <v>32</v>
      </c>
      <c r="C14" s="118" t="s">
        <v>33</v>
      </c>
      <c r="D14" s="258"/>
      <c r="E14" s="199">
        <v>66.73</v>
      </c>
      <c r="F14" s="258"/>
      <c r="G14" s="199">
        <v>62.87</v>
      </c>
      <c r="H14" s="258"/>
      <c r="I14" s="199">
        <v>57.81</v>
      </c>
      <c r="J14" s="258"/>
      <c r="K14" s="199">
        <v>59.65</v>
      </c>
      <c r="L14" s="258"/>
      <c r="M14" s="199">
        <v>60.14</v>
      </c>
      <c r="N14" s="118"/>
      <c r="O14" s="120"/>
      <c r="Q14" s="120"/>
      <c r="R14" s="121">
        <v>186.9</v>
      </c>
      <c r="S14" s="120"/>
      <c r="T14" s="121">
        <v>163.9</v>
      </c>
      <c r="U14" s="239"/>
      <c r="V14" s="121">
        <v>167.5</v>
      </c>
      <c r="W14" s="142" t="s">
        <v>3</v>
      </c>
      <c r="X14" s="142">
        <v>173.53</v>
      </c>
      <c r="Y14" s="142" t="s">
        <v>3</v>
      </c>
      <c r="Z14" s="142">
        <v>160.64</v>
      </c>
      <c r="AA14" s="47" t="s">
        <v>6</v>
      </c>
      <c r="AB14" s="47">
        <v>186.17</v>
      </c>
      <c r="AC14" s="47" t="s">
        <v>6</v>
      </c>
      <c r="AD14" s="47">
        <v>160.64</v>
      </c>
      <c r="AE14" s="240" t="s">
        <v>6</v>
      </c>
      <c r="AF14" s="47">
        <v>132.87</v>
      </c>
      <c r="AG14" s="118" t="s">
        <v>6</v>
      </c>
    </row>
    <row r="15" spans="1:33" s="124" customFormat="1" ht="12.75">
      <c r="A15" s="122"/>
      <c r="B15" s="122"/>
      <c r="C15" s="122"/>
      <c r="D15" s="259"/>
      <c r="E15" s="200"/>
      <c r="F15" s="259"/>
      <c r="G15" s="200"/>
      <c r="H15" s="259"/>
      <c r="I15" s="200"/>
      <c r="J15" s="259"/>
      <c r="K15" s="200"/>
      <c r="L15" s="259"/>
      <c r="M15" s="200"/>
      <c r="N15" s="122"/>
      <c r="O15" s="125"/>
      <c r="Q15" s="125"/>
      <c r="R15" s="124">
        <v>0.354</v>
      </c>
      <c r="S15" s="125"/>
      <c r="T15" s="124">
        <v>0.443</v>
      </c>
      <c r="U15" s="262"/>
      <c r="V15" s="124">
        <v>0.347</v>
      </c>
      <c r="W15" s="263" t="s">
        <v>3</v>
      </c>
      <c r="X15" s="263">
        <v>0.276</v>
      </c>
      <c r="Y15" s="263" t="s">
        <v>3</v>
      </c>
      <c r="Z15" s="263">
        <v>0.26</v>
      </c>
      <c r="AA15" s="263" t="s">
        <v>6</v>
      </c>
      <c r="AB15" s="263">
        <v>0.221</v>
      </c>
      <c r="AC15" s="263" t="s">
        <v>6</v>
      </c>
      <c r="AD15" s="263">
        <v>0.224</v>
      </c>
      <c r="AE15" s="122" t="s">
        <v>6</v>
      </c>
      <c r="AF15" s="263">
        <v>0.255</v>
      </c>
      <c r="AG15" s="122" t="s">
        <v>6</v>
      </c>
    </row>
    <row r="16" spans="1:33" s="243" customFormat="1" ht="12.75">
      <c r="A16" s="126" t="s">
        <v>78</v>
      </c>
      <c r="B16" s="126" t="s">
        <v>82</v>
      </c>
      <c r="C16" s="264" t="s">
        <v>81</v>
      </c>
      <c r="D16" s="265"/>
      <c r="E16" s="267">
        <v>161358287</v>
      </c>
      <c r="F16" s="265"/>
      <c r="G16" s="267">
        <v>161358287</v>
      </c>
      <c r="H16" s="266"/>
      <c r="I16" s="267">
        <v>161358287</v>
      </c>
      <c r="J16" s="266"/>
      <c r="K16" s="267">
        <v>161358287</v>
      </c>
      <c r="L16" s="265"/>
      <c r="M16" s="267">
        <v>161358287</v>
      </c>
      <c r="N16" s="143"/>
      <c r="O16" s="242"/>
      <c r="P16" s="43"/>
      <c r="Q16" s="127"/>
      <c r="R16" s="43">
        <v>24432025</v>
      </c>
      <c r="S16" s="127"/>
      <c r="T16" s="43">
        <v>24432025</v>
      </c>
      <c r="U16" s="239"/>
      <c r="V16" s="43">
        <v>24432025</v>
      </c>
      <c r="W16" s="47" t="s">
        <v>3</v>
      </c>
      <c r="X16" s="43">
        <v>24432025</v>
      </c>
      <c r="Y16" s="47" t="s">
        <v>3</v>
      </c>
      <c r="Z16" s="43">
        <v>24458667</v>
      </c>
      <c r="AA16" s="47" t="s">
        <v>6</v>
      </c>
      <c r="AB16" s="43">
        <v>24402157</v>
      </c>
      <c r="AC16" s="47" t="s">
        <v>6</v>
      </c>
      <c r="AD16" s="43">
        <v>25783578</v>
      </c>
      <c r="AE16" s="240" t="s">
        <v>6</v>
      </c>
      <c r="AF16" s="43">
        <v>25783578</v>
      </c>
      <c r="AG16" s="126" t="s">
        <v>6</v>
      </c>
    </row>
    <row r="17" spans="5:15" ht="12.75">
      <c r="E17" s="221"/>
      <c r="G17" s="221"/>
      <c r="I17" s="221"/>
      <c r="O17" s="16"/>
    </row>
    <row r="18" spans="1:28" s="19" customFormat="1" ht="12.75" customHeight="1">
      <c r="A18"/>
      <c r="B18" s="57"/>
      <c r="C18" s="58"/>
      <c r="D18" s="224"/>
      <c r="E18" s="225"/>
      <c r="F18" s="224"/>
      <c r="G18" s="225"/>
      <c r="H18" s="224"/>
      <c r="I18" s="225"/>
      <c r="J18" s="224"/>
      <c r="K18" s="225"/>
      <c r="L18" s="224"/>
      <c r="M18" s="225"/>
      <c r="N18" s="59"/>
      <c r="O18" s="57"/>
      <c r="P18" s="60"/>
      <c r="R18" s="36"/>
      <c r="S18" s="30"/>
      <c r="T18" s="36"/>
      <c r="U18" s="33"/>
      <c r="V18" s="33"/>
      <c r="W18" s="33"/>
      <c r="X18" s="33"/>
      <c r="Y18" s="33"/>
      <c r="Z18" s="33"/>
      <c r="AA18" s="33"/>
      <c r="AB18" s="30"/>
    </row>
    <row r="19" spans="4:25" ht="12.75">
      <c r="D19" s="190"/>
      <c r="F19" s="190"/>
      <c r="H19" s="190"/>
      <c r="J19" s="190"/>
      <c r="L19" s="190"/>
      <c r="O19" s="16"/>
      <c r="S19" s="55"/>
      <c r="W19" s="56"/>
      <c r="Y19"/>
    </row>
    <row r="20" spans="4:25" ht="12.75">
      <c r="D20" s="190"/>
      <c r="F20" s="190"/>
      <c r="H20" s="190"/>
      <c r="J20" s="190"/>
      <c r="L20" s="190"/>
      <c r="O20" s="16"/>
      <c r="S20" s="55"/>
      <c r="W20" s="56"/>
      <c r="Y20"/>
    </row>
    <row r="21" spans="4:25" ht="12.75">
      <c r="D21" s="190"/>
      <c r="F21" s="190"/>
      <c r="H21" s="190"/>
      <c r="J21" s="190"/>
      <c r="L21" s="190"/>
      <c r="O21" s="16"/>
      <c r="S21" s="55"/>
      <c r="W21" s="56"/>
      <c r="Y21"/>
    </row>
    <row r="22" spans="4:25" ht="12.75">
      <c r="D22" s="190"/>
      <c r="F22" s="190"/>
      <c r="H22" s="190"/>
      <c r="J22" s="190"/>
      <c r="L22" s="190"/>
      <c r="O22" s="16"/>
      <c r="S22" s="55"/>
      <c r="W22" s="56"/>
      <c r="Y22"/>
    </row>
  </sheetData>
  <sheetProtection/>
  <printOptions/>
  <pageMargins left="0.28" right="0.2" top="0.984251969" bottom="0.984251969" header="0.4921259845" footer="0.4921259845"/>
  <pageSetup fitToHeight="1" fitToWidth="1" horizontalDpi="600" verticalDpi="600" orientation="landscape" paperSize="9" scale="60" r:id="rId1"/>
  <headerFooter alignWithMargins="0">
    <oddHeader>&amp;L"FR NL UK VAC trimestrielle.xls"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R22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32.00390625" style="0" bestFit="1" customWidth="1"/>
    <col min="2" max="2" width="14.140625" style="191" customWidth="1"/>
    <col min="3" max="3" width="12.421875" style="203" customWidth="1"/>
    <col min="4" max="4" width="14.140625" style="191" customWidth="1"/>
    <col min="5" max="5" width="12.421875" style="203" customWidth="1"/>
    <col min="6" max="6" width="14.140625" style="191" customWidth="1"/>
    <col min="7" max="7" width="12.421875" style="203" customWidth="1"/>
    <col min="8" max="8" width="14.140625" style="191" customWidth="1"/>
    <col min="9" max="9" width="12.421875" style="203" customWidth="1"/>
    <col min="10" max="10" width="13.421875" style="191" customWidth="1"/>
    <col min="11" max="11" width="12.421875" style="203" customWidth="1"/>
    <col min="12" max="12" width="12.8515625" style="191" customWidth="1"/>
    <col min="13" max="13" width="12.421875" style="203" customWidth="1"/>
    <col min="14" max="14" width="13.8515625" style="191" customWidth="1"/>
    <col min="15" max="15" width="12.421875" style="203" customWidth="1"/>
    <col min="16" max="16" width="12.8515625" style="191" customWidth="1"/>
    <col min="17" max="17" width="12.421875" style="203" customWidth="1"/>
    <col min="18" max="18" width="12.421875" style="0" customWidth="1"/>
    <col min="19" max="19" width="11.421875" style="54" customWidth="1"/>
    <col min="20" max="20" width="11.421875" style="0" customWidth="1"/>
    <col min="21" max="21" width="9.140625" style="54" hidden="1" customWidth="1"/>
    <col min="22" max="22" width="9.140625" style="0" hidden="1" customWidth="1"/>
    <col min="23" max="23" width="9.140625" style="54" hidden="1" customWidth="1"/>
    <col min="24" max="24" width="9.140625" style="0" hidden="1" customWidth="1"/>
    <col min="25" max="25" width="11.57421875" style="55" hidden="1" customWidth="1"/>
    <col min="26" max="26" width="9.140625" style="0" hidden="1" customWidth="1"/>
    <col min="27" max="27" width="9.140625" style="55" hidden="1" customWidth="1"/>
    <col min="28" max="28" width="9.140625" style="0" hidden="1" customWidth="1"/>
    <col min="29" max="29" width="11.57421875" style="56" hidden="1" customWidth="1"/>
    <col min="30" max="32" width="9.140625" style="0" hidden="1" customWidth="1"/>
    <col min="33" max="36" width="11.421875" style="0" hidden="1" customWidth="1"/>
    <col min="37" max="37" width="11.421875" style="0" customWidth="1"/>
    <col min="38" max="39" width="9.140625" style="0" hidden="1" customWidth="1"/>
  </cols>
  <sheetData>
    <row r="1" spans="1:39" s="87" customFormat="1" ht="12.75">
      <c r="A1" s="79" t="s">
        <v>2</v>
      </c>
      <c r="B1" s="144"/>
      <c r="C1" s="256">
        <v>42004</v>
      </c>
      <c r="D1" s="144"/>
      <c r="E1" s="256">
        <v>41912</v>
      </c>
      <c r="F1" s="144"/>
      <c r="G1" s="256">
        <v>41820</v>
      </c>
      <c r="H1" s="144"/>
      <c r="I1" s="256">
        <v>41729</v>
      </c>
      <c r="J1" s="144"/>
      <c r="K1" s="256">
        <v>41639</v>
      </c>
      <c r="L1" s="144"/>
      <c r="M1" s="256"/>
      <c r="N1" s="144"/>
      <c r="O1" s="256"/>
      <c r="P1" s="144"/>
      <c r="Q1" s="256"/>
      <c r="R1" s="88"/>
      <c r="S1" s="89"/>
      <c r="T1" s="88"/>
      <c r="U1" s="82"/>
      <c r="V1" s="81">
        <v>36420</v>
      </c>
      <c r="W1" s="82"/>
      <c r="X1" s="81">
        <v>36341</v>
      </c>
      <c r="Y1" s="81"/>
      <c r="Z1" s="81">
        <v>36231</v>
      </c>
      <c r="AA1" s="81"/>
      <c r="AB1" s="81">
        <v>36160</v>
      </c>
      <c r="AC1" s="83"/>
      <c r="AD1" s="81">
        <v>36052</v>
      </c>
      <c r="AE1" s="84" t="s">
        <v>3</v>
      </c>
      <c r="AF1" s="85">
        <v>35976</v>
      </c>
      <c r="AG1" s="84" t="s">
        <v>3</v>
      </c>
      <c r="AH1" s="85">
        <v>35884</v>
      </c>
      <c r="AI1" s="86" t="s">
        <v>3</v>
      </c>
      <c r="AJ1" s="85">
        <v>35795</v>
      </c>
      <c r="AL1" s="87">
        <v>40.3399</v>
      </c>
      <c r="AM1" s="87">
        <v>6.55957</v>
      </c>
    </row>
    <row r="2" spans="1:37" s="19" customFormat="1" ht="12.75">
      <c r="A2" s="1" t="s">
        <v>83</v>
      </c>
      <c r="B2" s="155">
        <v>42.52</v>
      </c>
      <c r="C2" s="196">
        <v>3052</v>
      </c>
      <c r="D2" s="155">
        <v>51.45</v>
      </c>
      <c r="E2" s="196">
        <v>3961</v>
      </c>
      <c r="F2" s="155">
        <v>52.78</v>
      </c>
      <c r="G2" s="196">
        <v>4078</v>
      </c>
      <c r="H2" s="155">
        <v>47.6</v>
      </c>
      <c r="I2" s="196">
        <v>3825</v>
      </c>
      <c r="J2" s="155">
        <v>44.53</v>
      </c>
      <c r="K2" s="196">
        <v>3818</v>
      </c>
      <c r="L2" s="155"/>
      <c r="M2" s="196"/>
      <c r="N2" s="155"/>
      <c r="O2" s="196"/>
      <c r="P2" s="155"/>
      <c r="Q2" s="196"/>
      <c r="R2" s="31"/>
      <c r="S2" s="14"/>
      <c r="T2" s="15"/>
      <c r="U2" s="14">
        <v>120.9</v>
      </c>
      <c r="V2" s="15">
        <v>2351</v>
      </c>
      <c r="W2" s="14">
        <v>125.1</v>
      </c>
      <c r="X2" s="15">
        <v>2399</v>
      </c>
      <c r="Y2" s="32">
        <f>460.3/4.5</f>
        <v>102.28888888888889</v>
      </c>
      <c r="Z2" s="15">
        <v>1921</v>
      </c>
      <c r="AA2" s="17">
        <v>86.76</v>
      </c>
      <c r="AB2" s="18">
        <v>1590</v>
      </c>
      <c r="AC2" s="17" t="e">
        <f>12875/(#REF!*4.5)</f>
        <v>#REF!</v>
      </c>
      <c r="AD2" s="18" t="e">
        <f>52109/#REF!</f>
        <v>#REF!</v>
      </c>
      <c r="AE2" s="17" t="e">
        <f>15275/(#REF!*4.5)</f>
        <v>#REF!</v>
      </c>
      <c r="AF2" s="18" t="e">
        <f>61445/#REF!</f>
        <v>#REF!</v>
      </c>
      <c r="AG2" s="17" t="e">
        <f>13950/#REF!</f>
        <v>#REF!</v>
      </c>
      <c r="AH2" s="18" t="e">
        <f>38455/#REF!</f>
        <v>#REF!</v>
      </c>
      <c r="AI2" s="4" t="e">
        <f>13675/#REF!</f>
        <v>#REF!</v>
      </c>
      <c r="AJ2" s="18" t="e">
        <f>35072/#REF!</f>
        <v>#REF!</v>
      </c>
      <c r="AK2" s="30" t="s">
        <v>6</v>
      </c>
    </row>
    <row r="3" spans="1:37" s="19" customFormat="1" ht="12.75">
      <c r="A3" s="1" t="s">
        <v>85</v>
      </c>
      <c r="B3" s="155">
        <v>58.08</v>
      </c>
      <c r="C3" s="209">
        <v>3518</v>
      </c>
      <c r="D3" s="155">
        <v>57.02</v>
      </c>
      <c r="E3" s="209">
        <v>3454</v>
      </c>
      <c r="F3" s="155">
        <v>63.4</v>
      </c>
      <c r="G3" s="209">
        <v>3827</v>
      </c>
      <c r="H3" s="155">
        <v>56.7</v>
      </c>
      <c r="I3" s="209">
        <v>3419</v>
      </c>
      <c r="J3" s="155">
        <v>54.47</v>
      </c>
      <c r="K3" s="209">
        <v>3285</v>
      </c>
      <c r="L3" s="155"/>
      <c r="M3" s="209"/>
      <c r="N3" s="155"/>
      <c r="O3" s="209"/>
      <c r="P3" s="155"/>
      <c r="Q3" s="209"/>
      <c r="R3" s="31"/>
      <c r="S3" s="14"/>
      <c r="T3" s="15"/>
      <c r="U3" s="14">
        <v>149.1</v>
      </c>
      <c r="V3" s="15">
        <v>624</v>
      </c>
      <c r="W3" s="14">
        <v>144</v>
      </c>
      <c r="X3" s="15">
        <v>603</v>
      </c>
      <c r="Y3" s="16">
        <v>99.6</v>
      </c>
      <c r="Z3" s="15">
        <v>417</v>
      </c>
      <c r="AA3" s="17">
        <f>560/AM1</f>
        <v>85.37144965294982</v>
      </c>
      <c r="AB3" s="18">
        <f>14416/AL1</f>
        <v>357.36330531310193</v>
      </c>
      <c r="AC3" s="17">
        <f>563/AM1</f>
        <v>85.82879670466204</v>
      </c>
      <c r="AD3" s="18">
        <f>14484/AL1</f>
        <v>359.0489812815599</v>
      </c>
      <c r="AE3" s="17">
        <f>831/AM1</f>
        <v>126.68513332428803</v>
      </c>
      <c r="AF3" s="18">
        <f>19136/AL1</f>
        <v>474.3690490060709</v>
      </c>
      <c r="AG3" s="17">
        <f>818/AM1</f>
        <v>124.7032961002017</v>
      </c>
      <c r="AH3" s="18">
        <f>16662/AL1</f>
        <v>413.0401909771715</v>
      </c>
      <c r="AI3" s="4">
        <f>748/AM1</f>
        <v>114.03186489358296</v>
      </c>
      <c r="AJ3" s="18">
        <f>15243/AL1</f>
        <v>377.8640998118488</v>
      </c>
      <c r="AK3" s="30" t="s">
        <v>6</v>
      </c>
    </row>
    <row r="4" spans="1:37" s="19" customFormat="1" ht="12.75">
      <c r="A4" s="1" t="s">
        <v>88</v>
      </c>
      <c r="B4" s="155">
        <v>61.01</v>
      </c>
      <c r="C4" s="196">
        <v>2614</v>
      </c>
      <c r="D4" s="155">
        <v>58.38</v>
      </c>
      <c r="E4" s="196">
        <v>2502</v>
      </c>
      <c r="F4" s="155">
        <v>61.54</v>
      </c>
      <c r="G4" s="196">
        <v>2637</v>
      </c>
      <c r="H4" s="155">
        <v>64.55</v>
      </c>
      <c r="I4" s="196">
        <v>2766</v>
      </c>
      <c r="J4" s="155">
        <v>63.21</v>
      </c>
      <c r="K4" s="196">
        <v>2709</v>
      </c>
      <c r="L4" s="155"/>
      <c r="M4" s="196"/>
      <c r="N4" s="155"/>
      <c r="O4" s="196"/>
      <c r="P4" s="155"/>
      <c r="Q4" s="196"/>
      <c r="R4" s="31"/>
      <c r="S4" s="14"/>
      <c r="T4" s="18"/>
      <c r="U4" s="14">
        <v>159.9</v>
      </c>
      <c r="V4" s="18">
        <v>2134</v>
      </c>
      <c r="W4" s="14">
        <v>174.9</v>
      </c>
      <c r="X4" s="18">
        <v>2278</v>
      </c>
      <c r="Y4" s="17">
        <v>173.2</v>
      </c>
      <c r="Z4" s="18">
        <v>2197</v>
      </c>
      <c r="AA4" s="17">
        <f>1148/AM1</f>
        <v>175.0114717885471</v>
      </c>
      <c r="AB4" s="18">
        <f>85728/AL1</f>
        <v>2125.1416091760266</v>
      </c>
      <c r="AC4" s="17">
        <f>1029/AM1</f>
        <v>156.8700387372953</v>
      </c>
      <c r="AD4" s="18">
        <f>76396/AL1</f>
        <v>1893.8073718576397</v>
      </c>
      <c r="AE4" s="17">
        <f>995/AM1</f>
        <v>151.68677215122332</v>
      </c>
      <c r="AF4" s="18">
        <f>73440/AL1</f>
        <v>1820.5300459346702</v>
      </c>
      <c r="AG4" s="17">
        <f>889/AM1</f>
        <v>135.52717632405782</v>
      </c>
      <c r="AH4" s="18">
        <f>41140/AL1</f>
        <v>1019.8339609171069</v>
      </c>
      <c r="AI4" s="4">
        <f>666/AM1</f>
        <v>101.53104548011531</v>
      </c>
      <c r="AJ4" s="18">
        <f>28071/AL1</f>
        <v>695.8619133909604</v>
      </c>
      <c r="AK4" s="30" t="s">
        <v>6</v>
      </c>
    </row>
    <row r="5" spans="1:36" s="281" customFormat="1" ht="12.75">
      <c r="A5" s="1" t="s">
        <v>97</v>
      </c>
      <c r="B5" s="282" t="s">
        <v>118</v>
      </c>
      <c r="C5" s="196">
        <v>1995</v>
      </c>
      <c r="D5" s="282" t="s">
        <v>116</v>
      </c>
      <c r="E5" s="196">
        <v>1928</v>
      </c>
      <c r="F5" s="282" t="s">
        <v>113</v>
      </c>
      <c r="G5" s="196">
        <v>2053</v>
      </c>
      <c r="H5" s="282" t="s">
        <v>110</v>
      </c>
      <c r="I5" s="196">
        <v>2099</v>
      </c>
      <c r="J5" s="282" t="s">
        <v>107</v>
      </c>
      <c r="K5" s="196">
        <v>1962</v>
      </c>
      <c r="L5" s="282"/>
      <c r="M5" s="196"/>
      <c r="N5" s="272"/>
      <c r="O5" s="196"/>
      <c r="P5" s="272"/>
      <c r="Q5" s="196"/>
      <c r="R5" s="273"/>
      <c r="S5" s="274"/>
      <c r="T5" s="273"/>
      <c r="U5" s="275"/>
      <c r="V5" s="276"/>
      <c r="W5" s="275"/>
      <c r="X5" s="276"/>
      <c r="Y5" s="276"/>
      <c r="Z5" s="276"/>
      <c r="AA5" s="276"/>
      <c r="AB5" s="276"/>
      <c r="AC5" s="277"/>
      <c r="AD5" s="276"/>
      <c r="AE5" s="278"/>
      <c r="AF5" s="279"/>
      <c r="AG5" s="278"/>
      <c r="AH5" s="279"/>
      <c r="AI5" s="280"/>
      <c r="AJ5" s="279"/>
    </row>
    <row r="6" spans="1:37" s="19" customFormat="1" ht="12.75">
      <c r="A6" s="1" t="s">
        <v>86</v>
      </c>
      <c r="B6" s="149">
        <v>92.26</v>
      </c>
      <c r="C6" s="194">
        <v>1835</v>
      </c>
      <c r="D6" s="149">
        <v>89.64</v>
      </c>
      <c r="E6" s="194">
        <v>1783</v>
      </c>
      <c r="F6" s="149">
        <v>87.7</v>
      </c>
      <c r="G6" s="194">
        <v>1745</v>
      </c>
      <c r="H6" s="149">
        <v>84.5</v>
      </c>
      <c r="I6" s="194">
        <v>1681</v>
      </c>
      <c r="J6" s="149">
        <v>82.81</v>
      </c>
      <c r="K6" s="194">
        <v>1647</v>
      </c>
      <c r="L6" s="149"/>
      <c r="M6" s="194"/>
      <c r="N6" s="149"/>
      <c r="O6" s="194"/>
      <c r="P6" s="149"/>
      <c r="Q6" s="194"/>
      <c r="R6" s="13"/>
      <c r="S6" s="14"/>
      <c r="T6" s="15"/>
      <c r="U6" s="14">
        <v>48.35</v>
      </c>
      <c r="V6" s="15">
        <v>1302</v>
      </c>
      <c r="W6" s="14">
        <v>46.55</v>
      </c>
      <c r="X6" s="15">
        <v>1242</v>
      </c>
      <c r="Y6" s="16">
        <v>37.45</v>
      </c>
      <c r="Z6" s="15">
        <v>991</v>
      </c>
      <c r="AA6" s="17">
        <f>1550/AL1</f>
        <v>38.42349633985211</v>
      </c>
      <c r="AB6" s="18">
        <f>40072/AL1</f>
        <v>993.3589324713249</v>
      </c>
      <c r="AC6" s="17">
        <f>1498/AL1</f>
        <v>37.13445001103126</v>
      </c>
      <c r="AD6" s="18">
        <f>38499/AL1</f>
        <v>954.3652810244944</v>
      </c>
      <c r="AE6" s="17">
        <f>1520/AL1</f>
        <v>37.67981576553239</v>
      </c>
      <c r="AF6" s="18">
        <f>38837/AL1</f>
        <v>962.7440821618299</v>
      </c>
      <c r="AG6" s="17">
        <f>1510/AL1</f>
        <v>37.43192224075915</v>
      </c>
      <c r="AH6" s="18">
        <f>26966/AL1</f>
        <v>668.4696789035173</v>
      </c>
      <c r="AI6" s="4">
        <f>1510/AL1</f>
        <v>37.43192224075915</v>
      </c>
      <c r="AJ6" s="18">
        <f>25184/AL1</f>
        <v>624.2950527889261</v>
      </c>
      <c r="AK6" s="12" t="s">
        <v>6</v>
      </c>
    </row>
    <row r="7" spans="1:174" s="29" customFormat="1" ht="12.75">
      <c r="A7" s="1" t="s">
        <v>93</v>
      </c>
      <c r="B7" s="149" t="s">
        <v>119</v>
      </c>
      <c r="C7" s="209">
        <v>1002</v>
      </c>
      <c r="D7" s="149" t="s">
        <v>111</v>
      </c>
      <c r="E7" s="209">
        <v>1002</v>
      </c>
      <c r="F7" s="149" t="s">
        <v>114</v>
      </c>
      <c r="G7" s="209">
        <v>1002</v>
      </c>
      <c r="H7" s="149" t="s">
        <v>111</v>
      </c>
      <c r="I7" s="209">
        <v>1002</v>
      </c>
      <c r="J7" s="149">
        <v>17.1</v>
      </c>
      <c r="K7" s="209">
        <v>935</v>
      </c>
      <c r="L7" s="149"/>
      <c r="M7" s="209"/>
      <c r="N7" s="149"/>
      <c r="O7" s="209"/>
      <c r="P7" s="149"/>
      <c r="Q7" s="209"/>
      <c r="R7" s="21"/>
      <c r="S7" s="22"/>
      <c r="T7" s="23"/>
      <c r="U7" s="24"/>
      <c r="V7" s="25"/>
      <c r="W7" s="24"/>
      <c r="X7" s="25"/>
      <c r="Y7" s="26"/>
      <c r="Z7" s="25"/>
      <c r="AA7" s="27"/>
      <c r="AB7" s="28"/>
      <c r="AC7" s="27"/>
      <c r="AD7" s="28"/>
      <c r="AE7" s="27"/>
      <c r="AF7" s="28"/>
      <c r="AG7" s="27"/>
      <c r="AH7" s="28"/>
      <c r="AI7" s="27"/>
      <c r="AJ7" s="28"/>
      <c r="AK7" s="28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</row>
    <row r="8" spans="1:174" s="29" customFormat="1" ht="12.75">
      <c r="A8" s="1" t="s">
        <v>94</v>
      </c>
      <c r="B8" s="149" t="s">
        <v>120</v>
      </c>
      <c r="C8" s="209">
        <v>59</v>
      </c>
      <c r="D8" s="149" t="s">
        <v>117</v>
      </c>
      <c r="E8" s="209">
        <v>59</v>
      </c>
      <c r="F8" s="149" t="s">
        <v>115</v>
      </c>
      <c r="G8" s="209">
        <v>59</v>
      </c>
      <c r="H8" s="149" t="s">
        <v>112</v>
      </c>
      <c r="I8" s="209">
        <v>401</v>
      </c>
      <c r="J8" s="149" t="s">
        <v>100</v>
      </c>
      <c r="K8" s="209">
        <v>401</v>
      </c>
      <c r="L8" s="149"/>
      <c r="M8" s="209"/>
      <c r="N8" s="149"/>
      <c r="O8" s="209"/>
      <c r="P8" s="149"/>
      <c r="Q8" s="209"/>
      <c r="R8" s="21"/>
      <c r="S8" s="22"/>
      <c r="T8" s="23"/>
      <c r="U8" s="24"/>
      <c r="V8" s="25"/>
      <c r="W8" s="24"/>
      <c r="X8" s="25"/>
      <c r="Y8" s="26"/>
      <c r="Z8" s="25"/>
      <c r="AA8" s="27"/>
      <c r="AB8" s="28"/>
      <c r="AC8" s="27"/>
      <c r="AD8" s="28"/>
      <c r="AE8" s="27"/>
      <c r="AF8" s="28"/>
      <c r="AG8" s="27"/>
      <c r="AH8" s="28"/>
      <c r="AI8" s="27"/>
      <c r="AJ8" s="28"/>
      <c r="AK8" s="28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</row>
    <row r="9" spans="1:37" s="19" customFormat="1" ht="12.75">
      <c r="A9" s="1" t="s">
        <v>98</v>
      </c>
      <c r="B9" s="155"/>
      <c r="C9" s="221">
        <v>551</v>
      </c>
      <c r="D9" s="155"/>
      <c r="E9" s="221">
        <v>416</v>
      </c>
      <c r="F9" s="155"/>
      <c r="G9" s="221">
        <v>362</v>
      </c>
      <c r="H9" s="155"/>
      <c r="I9" s="221">
        <v>266</v>
      </c>
      <c r="J9" s="155"/>
      <c r="K9" s="221">
        <v>254</v>
      </c>
      <c r="L9" s="155"/>
      <c r="M9" s="221"/>
      <c r="N9" s="155"/>
      <c r="O9" s="221"/>
      <c r="P9" s="155"/>
      <c r="Q9" s="221"/>
      <c r="R9" s="31"/>
      <c r="S9" s="14"/>
      <c r="T9" s="18"/>
      <c r="U9" s="33"/>
      <c r="V9" s="33" t="s">
        <v>16</v>
      </c>
      <c r="W9" s="34"/>
      <c r="X9" s="33" t="s">
        <v>16</v>
      </c>
      <c r="Y9" s="35"/>
      <c r="Z9" s="33" t="s">
        <v>16</v>
      </c>
      <c r="AA9" s="36"/>
      <c r="AB9" s="33" t="s">
        <v>16</v>
      </c>
      <c r="AC9" s="36"/>
      <c r="AD9" s="33"/>
      <c r="AE9" s="36"/>
      <c r="AF9" s="33"/>
      <c r="AG9" s="36"/>
      <c r="AH9" s="18"/>
      <c r="AI9" s="37"/>
      <c r="AJ9" s="18"/>
      <c r="AK9" s="30"/>
    </row>
    <row r="10" spans="1:37" s="19" customFormat="1" ht="12.75">
      <c r="A10" s="30" t="s">
        <v>99</v>
      </c>
      <c r="B10" s="149"/>
      <c r="C10" s="196">
        <v>439</v>
      </c>
      <c r="D10" s="149"/>
      <c r="E10" s="196">
        <v>507</v>
      </c>
      <c r="F10" s="149"/>
      <c r="G10" s="196">
        <v>434</v>
      </c>
      <c r="H10" s="149"/>
      <c r="I10" s="196">
        <v>387</v>
      </c>
      <c r="J10" s="149"/>
      <c r="K10" s="196">
        <v>402</v>
      </c>
      <c r="L10" s="149"/>
      <c r="M10" s="196"/>
      <c r="N10" s="149"/>
      <c r="O10" s="196"/>
      <c r="P10" s="149"/>
      <c r="Q10" s="196"/>
      <c r="R10" s="31"/>
      <c r="S10" s="14"/>
      <c r="T10" s="15"/>
      <c r="U10" s="34"/>
      <c r="V10" s="15">
        <v>266</v>
      </c>
      <c r="W10" s="34"/>
      <c r="X10" s="15">
        <v>257</v>
      </c>
      <c r="Y10" s="35"/>
      <c r="Z10" s="15">
        <f>25+190</f>
        <v>215</v>
      </c>
      <c r="AA10" s="36" t="s">
        <v>3</v>
      </c>
      <c r="AB10" s="18">
        <f>7517/AL1+1</f>
        <v>187.34156257204407</v>
      </c>
      <c r="AC10" s="36" t="s">
        <v>3</v>
      </c>
      <c r="AD10" s="18">
        <f>10221/AL1</f>
        <v>253.371971670728</v>
      </c>
      <c r="AE10" s="36" t="s">
        <v>6</v>
      </c>
      <c r="AF10" s="18">
        <f>13264/AL1</f>
        <v>328.80597125922475</v>
      </c>
      <c r="AG10" s="36" t="s">
        <v>6</v>
      </c>
      <c r="AH10" s="18">
        <f>15670/AL1+1</f>
        <v>389.44915331966615</v>
      </c>
      <c r="AI10" s="37" t="s">
        <v>6</v>
      </c>
      <c r="AJ10" s="18">
        <f>22978/AL1</f>
        <v>569.6097412239495</v>
      </c>
      <c r="AK10" s="30" t="s">
        <v>6</v>
      </c>
    </row>
    <row r="11" spans="1:37" s="40" customFormat="1" ht="12.75">
      <c r="A11" s="38" t="s">
        <v>91</v>
      </c>
      <c r="B11" s="252"/>
      <c r="C11" s="196">
        <f>429-1509-550+1826</f>
        <v>196</v>
      </c>
      <c r="D11" s="252"/>
      <c r="E11" s="196">
        <f>443-1509-550+1602</f>
        <v>-14</v>
      </c>
      <c r="F11" s="252"/>
      <c r="G11" s="196">
        <f>458-1509-950+1990</f>
        <v>-11</v>
      </c>
      <c r="H11" s="252"/>
      <c r="I11" s="196">
        <v>-94</v>
      </c>
      <c r="J11" s="252"/>
      <c r="K11" s="196">
        <v>-496</v>
      </c>
      <c r="L11" s="252"/>
      <c r="M11" s="196"/>
      <c r="N11" s="252"/>
      <c r="O11" s="196"/>
      <c r="P11" s="252"/>
      <c r="Q11" s="196"/>
      <c r="R11" s="31"/>
      <c r="S11" s="14"/>
      <c r="T11" s="15"/>
      <c r="U11" s="39"/>
      <c r="V11" s="40">
        <v>392</v>
      </c>
      <c r="W11" s="39"/>
      <c r="X11" s="40">
        <v>414</v>
      </c>
      <c r="Y11" s="41"/>
      <c r="Z11" s="40">
        <v>527</v>
      </c>
      <c r="AA11" s="42" t="s">
        <v>3</v>
      </c>
      <c r="AB11" s="42">
        <f>24308/AL1</f>
        <v>602.5795800187904</v>
      </c>
      <c r="AC11" s="42" t="s">
        <v>3</v>
      </c>
      <c r="AD11" s="42">
        <f>22554/AL1</f>
        <v>559.0990557735641</v>
      </c>
      <c r="AE11" s="42" t="s">
        <v>6</v>
      </c>
      <c r="AF11" s="42">
        <f>29104/AL1</f>
        <v>721.4693145000359</v>
      </c>
      <c r="AG11" s="42" t="s">
        <v>6</v>
      </c>
      <c r="AH11" s="42">
        <f>48989/AL1+1</f>
        <v>1215.4055885116225</v>
      </c>
      <c r="AI11" s="38" t="s">
        <v>6</v>
      </c>
      <c r="AJ11" s="42">
        <f>37124/AL1+1</f>
        <v>921.279921368174</v>
      </c>
      <c r="AK11" s="38" t="s">
        <v>6</v>
      </c>
    </row>
    <row r="12" spans="1:39" s="237" customFormat="1" ht="12.75">
      <c r="A12" s="113" t="s">
        <v>27</v>
      </c>
      <c r="B12" s="257"/>
      <c r="C12" s="231">
        <f>SUM(C2:C11)</f>
        <v>15261</v>
      </c>
      <c r="D12" s="257"/>
      <c r="E12" s="231">
        <f>SUM(E2:E11)</f>
        <v>15598</v>
      </c>
      <c r="F12" s="257"/>
      <c r="G12" s="231">
        <v>16186</v>
      </c>
      <c r="H12" s="257"/>
      <c r="I12" s="231">
        <v>15752</v>
      </c>
      <c r="J12" s="257"/>
      <c r="K12" s="231">
        <v>14917</v>
      </c>
      <c r="L12" s="257"/>
      <c r="M12" s="231"/>
      <c r="N12" s="257"/>
      <c r="O12" s="231"/>
      <c r="P12" s="257"/>
      <c r="Q12" s="231"/>
      <c r="R12" s="141"/>
      <c r="S12" s="232"/>
      <c r="T12" s="116"/>
      <c r="U12" s="233"/>
      <c r="V12" s="116" t="e">
        <f>SUM(V6:V8:#REF!)-#REF!-V7</f>
        <v>#REF!</v>
      </c>
      <c r="W12" s="233"/>
      <c r="X12" s="116" t="e">
        <f>SUM(X6:X8:#REF!)-#REF!-X7</f>
        <v>#REF!</v>
      </c>
      <c r="Y12" s="234"/>
      <c r="Z12" s="116" t="e">
        <f>SUM(Z6:Z8:#REF!)-#REF!-Z7</f>
        <v>#REF!</v>
      </c>
      <c r="AA12" s="235" t="s">
        <v>3</v>
      </c>
      <c r="AB12" s="116" t="e">
        <f>SUM(AB6:AB8:#REF!)-#REF!-AB7-1</f>
        <v>#REF!</v>
      </c>
      <c r="AC12" s="235" t="s">
        <v>3</v>
      </c>
      <c r="AD12" s="116">
        <f>SUM(AD4:AD11)</f>
        <v>3660.643680326426</v>
      </c>
      <c r="AE12" s="235" t="s">
        <v>6</v>
      </c>
      <c r="AF12" s="116">
        <f>SUM(AF4:AF11)</f>
        <v>3833.549413855761</v>
      </c>
      <c r="AG12" s="235" t="s">
        <v>6</v>
      </c>
      <c r="AH12" s="116">
        <f>SUM(AH4:AH11)-2</f>
        <v>3291.1583816519124</v>
      </c>
      <c r="AI12" s="236" t="s">
        <v>6</v>
      </c>
      <c r="AJ12" s="116">
        <f>SUM(AJ4:AJ11)-1</f>
        <v>2810.04662877201</v>
      </c>
      <c r="AK12" s="113" t="s">
        <v>6</v>
      </c>
      <c r="AL12" s="237">
        <f>236182/AL1</f>
        <v>5854.798846799323</v>
      </c>
      <c r="AM12" s="237">
        <f>214263/AL1</f>
        <v>5311.441029848859</v>
      </c>
    </row>
    <row r="13" spans="1:37" s="121" customFormat="1" ht="25.5" customHeight="1">
      <c r="A13" s="118" t="s">
        <v>30</v>
      </c>
      <c r="B13" s="258"/>
      <c r="C13" s="198">
        <v>94.58</v>
      </c>
      <c r="D13" s="258"/>
      <c r="E13" s="198">
        <v>96.67</v>
      </c>
      <c r="F13" s="258"/>
      <c r="G13" s="198">
        <v>100.31</v>
      </c>
      <c r="H13" s="258"/>
      <c r="I13" s="198">
        <v>97.62</v>
      </c>
      <c r="J13" s="258"/>
      <c r="K13" s="198">
        <v>92.44644497248537</v>
      </c>
      <c r="L13" s="258"/>
      <c r="M13" s="198"/>
      <c r="N13" s="258"/>
      <c r="O13" s="198"/>
      <c r="P13" s="258"/>
      <c r="Q13" s="198"/>
      <c r="R13" s="142"/>
      <c r="S13" s="261"/>
      <c r="T13" s="47"/>
      <c r="U13" s="120"/>
      <c r="V13" s="47">
        <v>289.33</v>
      </c>
      <c r="W13" s="120"/>
      <c r="X13" s="47">
        <v>256.53</v>
      </c>
      <c r="Y13" s="239"/>
      <c r="Z13" s="47">
        <v>256.53</v>
      </c>
      <c r="AA13" s="47" t="s">
        <v>3</v>
      </c>
      <c r="AB13" s="47">
        <v>239.64</v>
      </c>
      <c r="AC13" s="47" t="s">
        <v>3</v>
      </c>
      <c r="AD13" s="47">
        <v>217.47</v>
      </c>
      <c r="AE13" s="47"/>
      <c r="AF13" s="47">
        <v>238.97</v>
      </c>
      <c r="AG13" s="47" t="s">
        <v>6</v>
      </c>
      <c r="AH13" s="47">
        <v>206.87</v>
      </c>
      <c r="AI13" s="240" t="s">
        <v>6</v>
      </c>
      <c r="AJ13" s="47">
        <v>178.36</v>
      </c>
      <c r="AK13" s="240" t="s">
        <v>6</v>
      </c>
    </row>
    <row r="14" spans="1:37" s="121" customFormat="1" ht="12.75">
      <c r="A14" s="118" t="s">
        <v>33</v>
      </c>
      <c r="B14" s="258"/>
      <c r="C14" s="199">
        <v>70.75</v>
      </c>
      <c r="D14" s="258"/>
      <c r="E14" s="199">
        <v>72.56</v>
      </c>
      <c r="F14" s="258"/>
      <c r="G14" s="199">
        <v>75.89</v>
      </c>
      <c r="H14" s="258"/>
      <c r="I14" s="199">
        <v>72.48</v>
      </c>
      <c r="J14" s="258"/>
      <c r="K14" s="199">
        <v>66.73</v>
      </c>
      <c r="L14" s="258"/>
      <c r="M14" s="199"/>
      <c r="N14" s="258"/>
      <c r="O14" s="199"/>
      <c r="P14" s="258"/>
      <c r="Q14" s="199"/>
      <c r="R14" s="118"/>
      <c r="S14" s="120"/>
      <c r="U14" s="120"/>
      <c r="V14" s="121">
        <v>186.9</v>
      </c>
      <c r="W14" s="120"/>
      <c r="X14" s="121">
        <v>163.9</v>
      </c>
      <c r="Y14" s="239"/>
      <c r="Z14" s="121">
        <v>167.5</v>
      </c>
      <c r="AA14" s="142" t="s">
        <v>3</v>
      </c>
      <c r="AB14" s="142">
        <v>173.53</v>
      </c>
      <c r="AC14" s="142" t="s">
        <v>3</v>
      </c>
      <c r="AD14" s="142">
        <v>160.64</v>
      </c>
      <c r="AE14" s="47" t="s">
        <v>6</v>
      </c>
      <c r="AF14" s="47">
        <v>186.17</v>
      </c>
      <c r="AG14" s="47" t="s">
        <v>6</v>
      </c>
      <c r="AH14" s="47">
        <v>160.64</v>
      </c>
      <c r="AI14" s="240" t="s">
        <v>6</v>
      </c>
      <c r="AJ14" s="47">
        <v>132.87</v>
      </c>
      <c r="AK14" s="118" t="s">
        <v>6</v>
      </c>
    </row>
    <row r="15" spans="1:37" s="124" customFormat="1" ht="12.75">
      <c r="A15" s="122"/>
      <c r="B15" s="259"/>
      <c r="C15" s="200"/>
      <c r="D15" s="259"/>
      <c r="E15" s="200"/>
      <c r="F15" s="259"/>
      <c r="G15" s="200"/>
      <c r="H15" s="259"/>
      <c r="I15" s="200"/>
      <c r="J15" s="259"/>
      <c r="K15" s="200"/>
      <c r="L15" s="259"/>
      <c r="M15" s="200"/>
      <c r="N15" s="259"/>
      <c r="O15" s="200"/>
      <c r="P15" s="259"/>
      <c r="Q15" s="200"/>
      <c r="R15" s="122"/>
      <c r="S15" s="125"/>
      <c r="U15" s="125"/>
      <c r="V15" s="124">
        <v>0.354</v>
      </c>
      <c r="W15" s="125"/>
      <c r="X15" s="124">
        <v>0.443</v>
      </c>
      <c r="Y15" s="262"/>
      <c r="Z15" s="124">
        <v>0.347</v>
      </c>
      <c r="AA15" s="263" t="s">
        <v>3</v>
      </c>
      <c r="AB15" s="263">
        <v>0.276</v>
      </c>
      <c r="AC15" s="263" t="s">
        <v>3</v>
      </c>
      <c r="AD15" s="263">
        <v>0.26</v>
      </c>
      <c r="AE15" s="263" t="s">
        <v>6</v>
      </c>
      <c r="AF15" s="263">
        <v>0.221</v>
      </c>
      <c r="AG15" s="263" t="s">
        <v>6</v>
      </c>
      <c r="AH15" s="263">
        <v>0.224</v>
      </c>
      <c r="AI15" s="122" t="s">
        <v>6</v>
      </c>
      <c r="AJ15" s="263">
        <v>0.255</v>
      </c>
      <c r="AK15" s="122" t="s">
        <v>6</v>
      </c>
    </row>
    <row r="16" spans="1:37" s="243" customFormat="1" ht="12.75">
      <c r="A16" s="264" t="s">
        <v>81</v>
      </c>
      <c r="B16" s="265"/>
      <c r="C16" s="267">
        <v>161358287</v>
      </c>
      <c r="D16" s="265"/>
      <c r="E16" s="267">
        <v>161358287</v>
      </c>
      <c r="F16" s="265"/>
      <c r="G16" s="267">
        <v>161358287</v>
      </c>
      <c r="H16" s="265"/>
      <c r="I16" s="267">
        <v>161358287</v>
      </c>
      <c r="J16" s="265"/>
      <c r="K16" s="267">
        <v>161358287</v>
      </c>
      <c r="L16" s="266"/>
      <c r="M16" s="267"/>
      <c r="N16" s="266"/>
      <c r="O16" s="267"/>
      <c r="P16" s="265"/>
      <c r="Q16" s="267"/>
      <c r="R16" s="143"/>
      <c r="S16" s="242"/>
      <c r="T16" s="43"/>
      <c r="U16" s="127"/>
      <c r="V16" s="43">
        <v>24432025</v>
      </c>
      <c r="W16" s="127"/>
      <c r="X16" s="43">
        <v>24432025</v>
      </c>
      <c r="Y16" s="239"/>
      <c r="Z16" s="43">
        <v>24432025</v>
      </c>
      <c r="AA16" s="47" t="s">
        <v>3</v>
      </c>
      <c r="AB16" s="43">
        <v>24432025</v>
      </c>
      <c r="AC16" s="47" t="s">
        <v>3</v>
      </c>
      <c r="AD16" s="43">
        <v>24458667</v>
      </c>
      <c r="AE16" s="47" t="s">
        <v>6</v>
      </c>
      <c r="AF16" s="43">
        <v>24402157</v>
      </c>
      <c r="AG16" s="47" t="s">
        <v>6</v>
      </c>
      <c r="AH16" s="43">
        <v>25783578</v>
      </c>
      <c r="AI16" s="240" t="s">
        <v>6</v>
      </c>
      <c r="AJ16" s="43">
        <v>25783578</v>
      </c>
      <c r="AK16" s="126" t="s">
        <v>6</v>
      </c>
    </row>
    <row r="17" spans="3:19" ht="12.75">
      <c r="C17" s="221"/>
      <c r="E17" s="221"/>
      <c r="G17" s="221"/>
      <c r="I17" s="221"/>
      <c r="K17" s="221"/>
      <c r="M17" s="221"/>
      <c r="S17" s="16"/>
    </row>
    <row r="18" spans="1:32" s="19" customFormat="1" ht="12.75" customHeight="1">
      <c r="A18" s="58"/>
      <c r="B18" s="224"/>
      <c r="C18" s="225"/>
      <c r="D18" s="224"/>
      <c r="E18" s="225"/>
      <c r="F18" s="224"/>
      <c r="G18" s="225"/>
      <c r="H18" s="224"/>
      <c r="I18" s="225"/>
      <c r="J18" s="224"/>
      <c r="K18" s="225"/>
      <c r="L18" s="224"/>
      <c r="M18" s="225"/>
      <c r="N18" s="224"/>
      <c r="O18" s="225"/>
      <c r="P18" s="224"/>
      <c r="Q18" s="225"/>
      <c r="R18" s="59"/>
      <c r="S18" s="57"/>
      <c r="T18" s="60"/>
      <c r="V18" s="36"/>
      <c r="W18" s="30"/>
      <c r="X18" s="36"/>
      <c r="Y18" s="33"/>
      <c r="Z18" s="33"/>
      <c r="AA18" s="33"/>
      <c r="AB18" s="33"/>
      <c r="AC18" s="33"/>
      <c r="AD18" s="33"/>
      <c r="AE18" s="33"/>
      <c r="AF18" s="30"/>
    </row>
    <row r="19" spans="2:29" ht="12.75">
      <c r="B19" s="190"/>
      <c r="D19" s="190"/>
      <c r="F19" s="190"/>
      <c r="H19" s="190"/>
      <c r="J19" s="190"/>
      <c r="L19" s="190"/>
      <c r="N19" s="190"/>
      <c r="P19" s="190"/>
      <c r="S19" s="16"/>
      <c r="W19" s="55"/>
      <c r="AA19" s="56"/>
      <c r="AC19"/>
    </row>
    <row r="20" spans="2:29" ht="12.75">
      <c r="B20" s="190"/>
      <c r="D20" s="190"/>
      <c r="F20" s="190"/>
      <c r="H20" s="190"/>
      <c r="J20" s="190"/>
      <c r="L20" s="190"/>
      <c r="N20" s="190"/>
      <c r="P20" s="190"/>
      <c r="S20" s="16"/>
      <c r="W20" s="55"/>
      <c r="AA20" s="56"/>
      <c r="AC20"/>
    </row>
    <row r="21" spans="2:29" ht="12.75">
      <c r="B21" s="190"/>
      <c r="D21" s="190"/>
      <c r="F21" s="190"/>
      <c r="H21" s="190"/>
      <c r="J21" s="190"/>
      <c r="L21" s="190"/>
      <c r="N21" s="190"/>
      <c r="P21" s="190"/>
      <c r="S21" s="16"/>
      <c r="W21" s="55"/>
      <c r="AA21" s="56"/>
      <c r="AC21"/>
    </row>
    <row r="22" spans="2:29" ht="12.75">
      <c r="B22" s="190"/>
      <c r="D22" s="190"/>
      <c r="F22" s="190"/>
      <c r="H22" s="190"/>
      <c r="J22" s="190"/>
      <c r="L22" s="190"/>
      <c r="N22" s="190"/>
      <c r="P22" s="190"/>
      <c r="S22" s="16"/>
      <c r="W22" s="55"/>
      <c r="AA22" s="56"/>
      <c r="AC22"/>
    </row>
  </sheetData>
  <sheetProtection/>
  <printOptions/>
  <pageMargins left="0.28" right="0.2" top="0.984251969" bottom="0.984251969" header="0.4921259845" footer="0.4921259845"/>
  <pageSetup fitToHeight="1" fitToWidth="1" horizontalDpi="600" verticalDpi="600" orientation="landscape" paperSize="9" scale="60" r:id="rId1"/>
  <headerFooter alignWithMargins="0">
    <oddHeader>&amp;L"FR NL UK VAC trimestrielle.xls"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showGridLines="0" zoomScale="85" zoomScaleNormal="85" zoomScalePageLayoutView="0" workbookViewId="0" topLeftCell="A1">
      <selection activeCell="C16" sqref="C16"/>
    </sheetView>
  </sheetViews>
  <sheetFormatPr defaultColWidth="11.421875" defaultRowHeight="12.75"/>
  <cols>
    <col min="1" max="1" width="32.00390625" style="296" customWidth="1"/>
    <col min="2" max="2" width="14.140625" style="191" customWidth="1"/>
    <col min="3" max="3" width="12.421875" style="203" customWidth="1"/>
    <col min="4" max="4" width="14.140625" style="191" customWidth="1"/>
    <col min="5" max="5" width="12.421875" style="203" customWidth="1"/>
    <col min="6" max="6" width="13.421875" style="191" customWidth="1"/>
    <col min="7" max="7" width="12.421875" style="203" customWidth="1"/>
    <col min="8" max="8" width="12.8515625" style="191" customWidth="1"/>
    <col min="9" max="9" width="12.421875" style="203" customWidth="1"/>
    <col min="10" max="10" width="13.8515625" style="297" customWidth="1"/>
    <col min="11" max="11" width="12.421875" style="298" customWidth="1"/>
    <col min="12" max="16384" width="11.421875" style="296" customWidth="1"/>
  </cols>
  <sheetData>
    <row r="1" spans="1:11" s="284" customFormat="1" ht="12.75">
      <c r="A1" s="283" t="s">
        <v>0</v>
      </c>
      <c r="B1" s="144"/>
      <c r="C1" s="256">
        <v>42369</v>
      </c>
      <c r="D1" s="144"/>
      <c r="E1" s="256">
        <v>42277</v>
      </c>
      <c r="F1" s="144"/>
      <c r="G1" s="256">
        <v>42185</v>
      </c>
      <c r="H1" s="144"/>
      <c r="I1" s="256">
        <v>42094</v>
      </c>
      <c r="J1" s="144"/>
      <c r="K1" s="256">
        <v>42004</v>
      </c>
    </row>
    <row r="2" spans="1:11" s="287" customFormat="1" ht="12.75">
      <c r="A2" s="286" t="s">
        <v>83</v>
      </c>
      <c r="B2" s="155">
        <v>41.265</v>
      </c>
      <c r="C2" s="196">
        <v>2462.51606864</v>
      </c>
      <c r="D2" s="155">
        <v>40.2</v>
      </c>
      <c r="E2" s="196">
        <v>2812</v>
      </c>
      <c r="F2" s="155">
        <v>43.57</v>
      </c>
      <c r="G2" s="196">
        <v>3047</v>
      </c>
      <c r="H2" s="155">
        <v>46.28</v>
      </c>
      <c r="I2" s="196">
        <v>3237</v>
      </c>
      <c r="J2" s="155">
        <v>42.52</v>
      </c>
      <c r="K2" s="196">
        <v>3052</v>
      </c>
    </row>
    <row r="3" spans="1:11" s="287" customFormat="1" ht="12.75">
      <c r="A3" s="285" t="s">
        <v>85</v>
      </c>
      <c r="B3" s="155">
        <v>46.72</v>
      </c>
      <c r="C3" s="209">
        <v>2674.18510272</v>
      </c>
      <c r="D3" s="155">
        <v>46.62</v>
      </c>
      <c r="E3" s="209">
        <v>2668</v>
      </c>
      <c r="F3" s="155">
        <v>59.24</v>
      </c>
      <c r="G3" s="209">
        <v>3588</v>
      </c>
      <c r="H3" s="155">
        <v>60.35</v>
      </c>
      <c r="I3" s="209">
        <v>3655</v>
      </c>
      <c r="J3" s="155">
        <v>58.08</v>
      </c>
      <c r="K3" s="209">
        <v>3518</v>
      </c>
    </row>
    <row r="4" spans="1:11" s="287" customFormat="1" ht="12.75">
      <c r="A4" s="286" t="s">
        <v>88</v>
      </c>
      <c r="B4" s="155">
        <v>64.42</v>
      </c>
      <c r="C4" s="196">
        <v>2760.53054266</v>
      </c>
      <c r="D4" s="155">
        <v>57.39</v>
      </c>
      <c r="E4" s="196">
        <v>2459</v>
      </c>
      <c r="F4" s="155">
        <v>68.6</v>
      </c>
      <c r="G4" s="196">
        <v>2940</v>
      </c>
      <c r="H4" s="155">
        <v>68.35</v>
      </c>
      <c r="I4" s="196">
        <v>2929</v>
      </c>
      <c r="J4" s="155">
        <v>61.01</v>
      </c>
      <c r="K4" s="196">
        <v>2614</v>
      </c>
    </row>
    <row r="5" spans="1:11" s="288" customFormat="1" ht="12.75">
      <c r="A5" s="286" t="s">
        <v>97</v>
      </c>
      <c r="B5" s="299">
        <v>1911</v>
      </c>
      <c r="C5" s="196">
        <v>2066.90051643</v>
      </c>
      <c r="D5" s="299">
        <v>1700</v>
      </c>
      <c r="E5" s="196">
        <v>1832</v>
      </c>
      <c r="F5" s="299">
        <v>1706</v>
      </c>
      <c r="G5" s="196">
        <v>1922</v>
      </c>
      <c r="H5" s="299">
        <v>1860</v>
      </c>
      <c r="I5" s="196">
        <v>2091</v>
      </c>
      <c r="J5" s="299">
        <v>2045</v>
      </c>
      <c r="K5" s="196">
        <v>1995</v>
      </c>
    </row>
    <row r="6" spans="1:11" s="287" customFormat="1" ht="12.75">
      <c r="A6" s="289" t="s">
        <v>86</v>
      </c>
      <c r="B6" s="149">
        <v>105.2</v>
      </c>
      <c r="C6" s="194">
        <v>2092.729924</v>
      </c>
      <c r="D6" s="149">
        <v>90.18</v>
      </c>
      <c r="E6" s="194">
        <v>1794</v>
      </c>
      <c r="F6" s="149">
        <v>103.6</v>
      </c>
      <c r="G6" s="194">
        <v>2061</v>
      </c>
      <c r="H6" s="149">
        <v>110.15</v>
      </c>
      <c r="I6" s="194">
        <v>2191</v>
      </c>
      <c r="J6" s="149">
        <v>92.26</v>
      </c>
      <c r="K6" s="194">
        <v>1835</v>
      </c>
    </row>
    <row r="7" spans="1:11" s="290" customFormat="1" ht="12.75">
      <c r="A7" s="289" t="s">
        <v>125</v>
      </c>
      <c r="B7" s="149">
        <v>16.325</v>
      </c>
      <c r="C7" s="209">
        <v>892.5718564</v>
      </c>
      <c r="D7" s="149">
        <v>14.44</v>
      </c>
      <c r="E7" s="209">
        <v>790</v>
      </c>
      <c r="F7" s="149">
        <v>16.64</v>
      </c>
      <c r="G7" s="209">
        <v>910</v>
      </c>
      <c r="H7" s="149" t="s">
        <v>121</v>
      </c>
      <c r="I7" s="209">
        <v>1002</v>
      </c>
      <c r="J7" s="149" t="s">
        <v>119</v>
      </c>
      <c r="K7" s="209">
        <v>1002</v>
      </c>
    </row>
    <row r="8" spans="1:11" s="290" customFormat="1" ht="12.75">
      <c r="A8" s="289" t="s">
        <v>94</v>
      </c>
      <c r="B8" s="149">
        <v>17.26</v>
      </c>
      <c r="C8" s="209">
        <v>0</v>
      </c>
      <c r="D8" s="149">
        <v>16.03</v>
      </c>
      <c r="E8" s="209">
        <v>0</v>
      </c>
      <c r="F8" s="149" t="s">
        <v>128</v>
      </c>
      <c r="G8" s="209">
        <v>4</v>
      </c>
      <c r="H8" s="149" t="s">
        <v>122</v>
      </c>
      <c r="I8" s="209">
        <v>39</v>
      </c>
      <c r="J8" s="149" t="s">
        <v>120</v>
      </c>
      <c r="K8" s="209">
        <v>59</v>
      </c>
    </row>
    <row r="9" spans="1:11" s="287" customFormat="1" ht="12.75">
      <c r="A9" s="1" t="s">
        <v>98</v>
      </c>
      <c r="B9" s="155"/>
      <c r="C9" s="221"/>
      <c r="D9" s="155"/>
      <c r="E9" s="221"/>
      <c r="F9" s="155"/>
      <c r="G9" s="221"/>
      <c r="H9" s="155"/>
      <c r="I9" s="221"/>
      <c r="J9" s="155"/>
      <c r="K9" s="221"/>
    </row>
    <row r="10" spans="1:11" s="287" customFormat="1" ht="12.75">
      <c r="A10" s="12" t="s">
        <v>127</v>
      </c>
      <c r="B10" s="155">
        <v>89.91</v>
      </c>
      <c r="C10" s="196">
        <v>889.9327764</v>
      </c>
      <c r="D10" s="155">
        <v>72.01</v>
      </c>
      <c r="E10" s="221">
        <v>706</v>
      </c>
      <c r="F10" s="155">
        <v>68.65</v>
      </c>
      <c r="G10" s="221">
        <v>350</v>
      </c>
      <c r="H10" s="155">
        <v>73.69</v>
      </c>
      <c r="I10" s="221">
        <v>170</v>
      </c>
      <c r="J10" s="155">
        <v>57.62</v>
      </c>
      <c r="K10" s="221">
        <v>85</v>
      </c>
    </row>
    <row r="11" spans="1:11" s="287" customFormat="1" ht="12.75">
      <c r="A11" s="285" t="s">
        <v>123</v>
      </c>
      <c r="B11" s="155">
        <v>38.665</v>
      </c>
      <c r="C11" s="221">
        <v>720</v>
      </c>
      <c r="D11" s="155">
        <v>34.445</v>
      </c>
      <c r="E11" s="221">
        <v>629</v>
      </c>
      <c r="F11" s="155">
        <v>42.53</v>
      </c>
      <c r="G11" s="221">
        <v>626</v>
      </c>
      <c r="H11" s="155">
        <v>38.88</v>
      </c>
      <c r="I11" s="221">
        <v>570</v>
      </c>
      <c r="J11" s="155">
        <v>33.305</v>
      </c>
      <c r="K11" s="221">
        <v>464</v>
      </c>
    </row>
    <row r="12" spans="1:11" s="287" customFormat="1" ht="12.75">
      <c r="A12" s="285" t="s">
        <v>124</v>
      </c>
      <c r="B12" s="155">
        <v>32.76</v>
      </c>
      <c r="C12" s="221">
        <v>181</v>
      </c>
      <c r="D12" s="155">
        <v>27.45</v>
      </c>
      <c r="E12" s="221">
        <v>138</v>
      </c>
      <c r="F12" s="155">
        <v>26.92</v>
      </c>
      <c r="G12" s="221">
        <v>135</v>
      </c>
      <c r="H12" s="155">
        <v>28.27</v>
      </c>
      <c r="I12" s="221">
        <v>142</v>
      </c>
      <c r="J12" s="155"/>
      <c r="K12" s="221">
        <v>0</v>
      </c>
    </row>
    <row r="13" spans="1:11" s="287" customFormat="1" ht="12.75">
      <c r="A13" s="285" t="s">
        <v>126</v>
      </c>
      <c r="B13" s="155"/>
      <c r="C13" s="221">
        <v>2</v>
      </c>
      <c r="D13" s="155"/>
      <c r="E13" s="221">
        <v>1</v>
      </c>
      <c r="F13" s="155"/>
      <c r="G13" s="221">
        <v>1</v>
      </c>
      <c r="H13" s="155"/>
      <c r="I13" s="221">
        <v>2</v>
      </c>
      <c r="J13" s="155"/>
      <c r="K13" s="221">
        <v>2</v>
      </c>
    </row>
    <row r="14" spans="1:11" s="287" customFormat="1" ht="12.75">
      <c r="A14" s="30" t="s">
        <v>129</v>
      </c>
      <c r="B14" s="149"/>
      <c r="C14" s="196">
        <v>715</v>
      </c>
      <c r="D14" s="149"/>
      <c r="E14" s="196">
        <v>630</v>
      </c>
      <c r="F14" s="149"/>
      <c r="G14" s="196">
        <v>673</v>
      </c>
      <c r="H14" s="149"/>
      <c r="I14" s="196">
        <v>637</v>
      </c>
      <c r="J14" s="149"/>
      <c r="K14" s="196">
        <v>439</v>
      </c>
    </row>
    <row r="15" spans="1:11" s="291" customFormat="1" ht="12.75">
      <c r="A15" s="38" t="s">
        <v>91</v>
      </c>
      <c r="B15" s="252"/>
      <c r="C15" s="196">
        <v>-269.07014858</v>
      </c>
      <c r="D15" s="252"/>
      <c r="E15" s="196">
        <v>-698</v>
      </c>
      <c r="F15" s="252"/>
      <c r="G15" s="196">
        <v>-343</v>
      </c>
      <c r="H15" s="252"/>
      <c r="I15" s="196">
        <f>I16-SUM(I2:I14)</f>
        <v>44</v>
      </c>
      <c r="J15" s="252"/>
      <c r="K15" s="196">
        <f>429-1509-550+1826</f>
        <v>196</v>
      </c>
    </row>
    <row r="16" spans="1:11" s="292" customFormat="1" ht="12.75">
      <c r="A16" s="113" t="s">
        <v>27</v>
      </c>
      <c r="B16" s="257"/>
      <c r="C16" s="231">
        <v>15188.29663867</v>
      </c>
      <c r="D16" s="257"/>
      <c r="E16" s="231">
        <v>13761</v>
      </c>
      <c r="F16" s="257"/>
      <c r="G16" s="231">
        <v>15914</v>
      </c>
      <c r="H16" s="257"/>
      <c r="I16" s="231">
        <v>16709</v>
      </c>
      <c r="J16" s="257"/>
      <c r="K16" s="231">
        <v>15261</v>
      </c>
    </row>
    <row r="17" spans="1:11" s="293" customFormat="1" ht="25.5" customHeight="1">
      <c r="A17" s="118" t="s">
        <v>30</v>
      </c>
      <c r="B17" s="258"/>
      <c r="C17" s="198">
        <v>94.12777565412554</v>
      </c>
      <c r="D17" s="258"/>
      <c r="E17" s="198">
        <v>85.28</v>
      </c>
      <c r="F17" s="258"/>
      <c r="G17" s="198">
        <v>98.63</v>
      </c>
      <c r="H17" s="258"/>
      <c r="I17" s="198">
        <v>103.55</v>
      </c>
      <c r="J17" s="258"/>
      <c r="K17" s="198">
        <v>94.58</v>
      </c>
    </row>
    <row r="18" spans="1:11" s="293" customFormat="1" ht="12.75">
      <c r="A18" s="118" t="s">
        <v>33</v>
      </c>
      <c r="B18" s="258"/>
      <c r="C18" s="199">
        <v>78.83</v>
      </c>
      <c r="D18" s="258"/>
      <c r="E18" s="199">
        <v>67.41</v>
      </c>
      <c r="F18" s="258"/>
      <c r="G18" s="199">
        <v>72.2</v>
      </c>
      <c r="H18" s="258"/>
      <c r="I18" s="199">
        <v>77.15</v>
      </c>
      <c r="J18" s="258"/>
      <c r="K18" s="199">
        <v>70.75</v>
      </c>
    </row>
    <row r="19" spans="1:11" s="294" customFormat="1" ht="12.75">
      <c r="A19" s="122"/>
      <c r="B19" s="259"/>
      <c r="C19" s="200"/>
      <c r="D19" s="259"/>
      <c r="E19" s="200"/>
      <c r="F19" s="259"/>
      <c r="G19" s="200"/>
      <c r="H19" s="259"/>
      <c r="I19" s="200"/>
      <c r="J19" s="259"/>
      <c r="K19" s="200"/>
    </row>
    <row r="20" spans="1:11" s="295" customFormat="1" ht="12.75">
      <c r="A20" s="264" t="s">
        <v>81</v>
      </c>
      <c r="B20" s="265"/>
      <c r="C20" s="267">
        <v>161358287</v>
      </c>
      <c r="D20" s="265"/>
      <c r="E20" s="267">
        <v>161358287</v>
      </c>
      <c r="F20" s="265"/>
      <c r="G20" s="267">
        <v>161358287</v>
      </c>
      <c r="H20" s="265"/>
      <c r="I20" s="267">
        <v>161358287</v>
      </c>
      <c r="J20" s="265"/>
      <c r="K20" s="267">
        <v>161358287</v>
      </c>
    </row>
    <row r="21" spans="3:11" ht="12.75">
      <c r="C21" s="221"/>
      <c r="E21" s="221"/>
      <c r="G21" s="221"/>
      <c r="I21" s="221"/>
      <c r="J21" s="191"/>
      <c r="K21" s="221"/>
    </row>
    <row r="22" spans="1:11" s="287" customFormat="1" ht="12.75" customHeight="1">
      <c r="A22" s="296"/>
      <c r="B22" s="224"/>
      <c r="C22" s="225"/>
      <c r="D22" s="224"/>
      <c r="E22" s="225"/>
      <c r="F22" s="224"/>
      <c r="G22" s="225"/>
      <c r="H22" s="224"/>
      <c r="I22" s="225"/>
      <c r="J22" s="224"/>
      <c r="K22" s="225"/>
    </row>
    <row r="23" spans="2:11" ht="12.75">
      <c r="B23" s="190"/>
      <c r="D23" s="190"/>
      <c r="F23" s="190"/>
      <c r="H23" s="190"/>
      <c r="J23" s="190"/>
      <c r="K23" s="203"/>
    </row>
    <row r="24" spans="2:11" ht="12.75">
      <c r="B24" s="190"/>
      <c r="D24" s="190"/>
      <c r="F24" s="190"/>
      <c r="H24" s="190"/>
      <c r="J24" s="190"/>
      <c r="K24" s="203"/>
    </row>
    <row r="25" spans="2:11" ht="12.75">
      <c r="B25" s="190"/>
      <c r="D25" s="190"/>
      <c r="F25" s="190"/>
      <c r="H25" s="190"/>
      <c r="J25" s="190"/>
      <c r="K25" s="203"/>
    </row>
    <row r="26" spans="2:11" ht="12.75">
      <c r="B26" s="190"/>
      <c r="D26" s="190"/>
      <c r="F26" s="190"/>
      <c r="H26" s="190"/>
      <c r="J26" s="190"/>
      <c r="K26" s="203"/>
    </row>
  </sheetData>
  <sheetProtection/>
  <printOptions/>
  <pageMargins left="0.28" right="0.2" top="0.984251969" bottom="0.984251969" header="0.4921259845" footer="0.4921259845"/>
  <pageSetup fitToHeight="1" fitToWidth="1" horizontalDpi="600" verticalDpi="600" orientation="landscape" paperSize="9" scale="60" r:id="rId1"/>
  <headerFooter alignWithMargins="0">
    <oddHeader>&amp;L"FR NL UK VAC trimestrielle.xls"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showGridLines="0" zoomScale="85" zoomScaleNormal="85" zoomScalePageLayoutView="0" workbookViewId="0" topLeftCell="A1">
      <selection activeCell="B6" sqref="B6"/>
    </sheetView>
  </sheetViews>
  <sheetFormatPr defaultColWidth="11.421875" defaultRowHeight="12.75"/>
  <cols>
    <col min="1" max="1" width="35.7109375" style="296" bestFit="1" customWidth="1"/>
    <col min="2" max="2" width="13.421875" style="191" customWidth="1"/>
    <col min="3" max="3" width="12.421875" style="203" customWidth="1"/>
    <col min="4" max="4" width="13.421875" style="191" customWidth="1"/>
    <col min="5" max="5" width="12.421875" style="203" customWidth="1"/>
    <col min="6" max="6" width="13.421875" style="191" customWidth="1"/>
    <col min="7" max="7" width="12.421875" style="203" customWidth="1"/>
    <col min="8" max="8" width="13.421875" style="191" customWidth="1"/>
    <col min="9" max="9" width="12.421875" style="203" customWidth="1"/>
    <col min="10" max="10" width="12.8515625" style="191" customWidth="1"/>
    <col min="11" max="11" width="12.421875" style="203" customWidth="1"/>
    <col min="12" max="16384" width="11.421875" style="296" customWidth="1"/>
  </cols>
  <sheetData>
    <row r="1" spans="1:11" s="284" customFormat="1" ht="12.75">
      <c r="A1" s="283" t="s">
        <v>0</v>
      </c>
      <c r="B1" s="144"/>
      <c r="C1" s="256">
        <v>42735</v>
      </c>
      <c r="D1" s="144"/>
      <c r="E1" s="256">
        <v>42643</v>
      </c>
      <c r="F1" s="144"/>
      <c r="G1" s="256">
        <v>42551</v>
      </c>
      <c r="H1" s="144"/>
      <c r="I1" s="256">
        <v>42460</v>
      </c>
      <c r="J1" s="144"/>
      <c r="K1" s="256">
        <v>42369</v>
      </c>
    </row>
    <row r="2" spans="1:11" s="287" customFormat="1" ht="12.75">
      <c r="A2" s="30" t="s">
        <v>88</v>
      </c>
      <c r="B2" s="155">
        <v>72.07</v>
      </c>
      <c r="C2" s="196">
        <v>3088</v>
      </c>
      <c r="D2" s="155">
        <v>64.29</v>
      </c>
      <c r="E2" s="196">
        <v>2755</v>
      </c>
      <c r="F2" s="155">
        <v>57.53</v>
      </c>
      <c r="G2" s="196">
        <v>2465</v>
      </c>
      <c r="H2" s="155">
        <v>61.29</v>
      </c>
      <c r="I2" s="196">
        <v>2626</v>
      </c>
      <c r="J2" s="155">
        <v>64.42</v>
      </c>
      <c r="K2" s="196">
        <v>2760.53054266</v>
      </c>
    </row>
    <row r="3" spans="1:11" s="287" customFormat="1" ht="12.75">
      <c r="A3" s="12" t="s">
        <v>130</v>
      </c>
      <c r="B3" s="155">
        <v>49.92</v>
      </c>
      <c r="C3" s="209">
        <v>2857</v>
      </c>
      <c r="D3" s="155">
        <v>48.06</v>
      </c>
      <c r="E3" s="209">
        <v>2751</v>
      </c>
      <c r="F3" s="155">
        <v>37.1</v>
      </c>
      <c r="G3" s="209">
        <v>2124</v>
      </c>
      <c r="H3" s="155">
        <v>41.28</v>
      </c>
      <c r="I3" s="209">
        <v>2363</v>
      </c>
      <c r="J3" s="155">
        <v>46.72</v>
      </c>
      <c r="K3" s="209">
        <v>2674.18510272</v>
      </c>
    </row>
    <row r="4" spans="1:11" s="288" customFormat="1" ht="12.75">
      <c r="A4" s="30" t="s">
        <v>97</v>
      </c>
      <c r="B4" s="299">
        <v>2072</v>
      </c>
      <c r="C4" s="196">
        <v>2445</v>
      </c>
      <c r="D4" s="299">
        <v>2175</v>
      </c>
      <c r="E4" s="196">
        <v>2341</v>
      </c>
      <c r="F4" s="299">
        <v>2226</v>
      </c>
      <c r="G4" s="196">
        <v>2417</v>
      </c>
      <c r="H4" s="299">
        <v>2032</v>
      </c>
      <c r="I4" s="196">
        <v>2188</v>
      </c>
      <c r="J4" s="299">
        <v>1911</v>
      </c>
      <c r="K4" s="196">
        <v>2066.90051643</v>
      </c>
    </row>
    <row r="5" spans="1:11" s="287" customFormat="1" ht="12.75">
      <c r="A5" s="12" t="s">
        <v>132</v>
      </c>
      <c r="B5" s="155">
        <v>150.15</v>
      </c>
      <c r="C5" s="196">
        <v>2356</v>
      </c>
      <c r="D5" s="155">
        <v>154.5</v>
      </c>
      <c r="E5" s="196">
        <v>2332</v>
      </c>
      <c r="F5" s="155">
        <v>128.45</v>
      </c>
      <c r="G5" s="196">
        <v>1933</v>
      </c>
      <c r="H5" s="155"/>
      <c r="I5" s="196"/>
      <c r="J5" s="155"/>
      <c r="K5" s="196"/>
    </row>
    <row r="6" spans="1:11" s="287" customFormat="1" ht="12.75">
      <c r="A6" s="1" t="s">
        <v>86</v>
      </c>
      <c r="B6" s="149">
        <v>102.95</v>
      </c>
      <c r="C6" s="196">
        <v>2048</v>
      </c>
      <c r="D6" s="149">
        <v>105.35</v>
      </c>
      <c r="E6" s="194">
        <v>2096</v>
      </c>
      <c r="F6" s="149">
        <v>100.1</v>
      </c>
      <c r="G6" s="194">
        <v>1991</v>
      </c>
      <c r="H6" s="149">
        <v>98</v>
      </c>
      <c r="I6" s="194">
        <v>1950</v>
      </c>
      <c r="J6" s="149">
        <v>105.2</v>
      </c>
      <c r="K6" s="194">
        <v>2092.729924</v>
      </c>
    </row>
    <row r="7" spans="1:11" s="287" customFormat="1" ht="12.75">
      <c r="A7" s="12" t="s">
        <v>133</v>
      </c>
      <c r="B7" s="155">
        <v>54.15</v>
      </c>
      <c r="C7" s="196">
        <v>1032</v>
      </c>
      <c r="D7" s="155">
        <v>55.83</v>
      </c>
      <c r="E7" s="221">
        <v>1064</v>
      </c>
      <c r="F7" s="155"/>
      <c r="G7" s="221"/>
      <c r="H7" s="155"/>
      <c r="I7" s="221"/>
      <c r="J7" s="155"/>
      <c r="K7" s="221"/>
    </row>
    <row r="8" spans="1:11" s="287" customFormat="1" ht="12.75">
      <c r="A8" s="30" t="s">
        <v>83</v>
      </c>
      <c r="B8" s="155">
        <v>48.72</v>
      </c>
      <c r="C8" s="196">
        <v>789</v>
      </c>
      <c r="D8" s="155">
        <v>42.17</v>
      </c>
      <c r="E8" s="196">
        <v>1358</v>
      </c>
      <c r="F8" s="155">
        <v>43.38</v>
      </c>
      <c r="G8" s="196">
        <v>1397</v>
      </c>
      <c r="H8" s="155">
        <v>40.06</v>
      </c>
      <c r="I8" s="196">
        <v>1290</v>
      </c>
      <c r="J8" s="155">
        <v>41.265</v>
      </c>
      <c r="K8" s="196">
        <v>2462.51606864</v>
      </c>
    </row>
    <row r="9" spans="1:11" s="290" customFormat="1" ht="12.75">
      <c r="A9" s="1" t="s">
        <v>125</v>
      </c>
      <c r="B9" s="149"/>
      <c r="C9" s="196"/>
      <c r="D9" s="149">
        <v>13.79</v>
      </c>
      <c r="E9" s="209">
        <v>754</v>
      </c>
      <c r="F9" s="149">
        <v>14.51</v>
      </c>
      <c r="G9" s="209">
        <v>793</v>
      </c>
      <c r="H9" s="149">
        <v>13.64</v>
      </c>
      <c r="I9" s="209">
        <v>746</v>
      </c>
      <c r="J9" s="149">
        <v>16.325</v>
      </c>
      <c r="K9" s="209">
        <v>892.5718564</v>
      </c>
    </row>
    <row r="10" spans="1:11" s="287" customFormat="1" ht="12.75">
      <c r="A10" s="1" t="s">
        <v>98</v>
      </c>
      <c r="B10" s="155"/>
      <c r="C10" s="196"/>
      <c r="D10" s="155"/>
      <c r="E10" s="221"/>
      <c r="F10" s="155"/>
      <c r="G10" s="221"/>
      <c r="H10" s="155"/>
      <c r="I10" s="221"/>
      <c r="J10" s="155"/>
      <c r="K10" s="221"/>
    </row>
    <row r="11" spans="1:11" s="287" customFormat="1" ht="12.75">
      <c r="A11" s="12" t="s">
        <v>127</v>
      </c>
      <c r="B11" s="155"/>
      <c r="C11" s="196"/>
      <c r="D11" s="155"/>
      <c r="E11" s="221"/>
      <c r="F11" s="155"/>
      <c r="G11" s="221"/>
      <c r="H11" s="155">
        <v>103</v>
      </c>
      <c r="I11" s="196">
        <v>1325</v>
      </c>
      <c r="J11" s="155">
        <v>89.91</v>
      </c>
      <c r="K11" s="196">
        <v>889.9327764</v>
      </c>
    </row>
    <row r="12" spans="1:11" s="287" customFormat="1" ht="12.75">
      <c r="A12" s="12" t="s">
        <v>123</v>
      </c>
      <c r="B12" s="155"/>
      <c r="C12" s="196"/>
      <c r="D12" s="155"/>
      <c r="E12" s="221"/>
      <c r="F12" s="155">
        <v>46.27</v>
      </c>
      <c r="G12" s="221">
        <v>881</v>
      </c>
      <c r="H12" s="155">
        <v>43.75</v>
      </c>
      <c r="I12" s="221">
        <v>833</v>
      </c>
      <c r="J12" s="155">
        <v>38.665</v>
      </c>
      <c r="K12" s="221">
        <v>720</v>
      </c>
    </row>
    <row r="13" spans="1:11" s="287" customFormat="1" ht="12.75">
      <c r="A13" s="285" t="s">
        <v>124</v>
      </c>
      <c r="B13" s="155">
        <v>28.25</v>
      </c>
      <c r="C13" s="196">
        <v>423</v>
      </c>
      <c r="D13" s="155">
        <v>28.24</v>
      </c>
      <c r="E13" s="221">
        <v>318</v>
      </c>
      <c r="F13" s="155">
        <v>28.26</v>
      </c>
      <c r="G13" s="221">
        <v>318</v>
      </c>
      <c r="H13" s="155">
        <v>28.82</v>
      </c>
      <c r="I13" s="221">
        <v>291</v>
      </c>
      <c r="J13" s="155">
        <v>32.76</v>
      </c>
      <c r="K13" s="221">
        <v>181</v>
      </c>
    </row>
    <row r="14" spans="1:11" s="287" customFormat="1" ht="12.75">
      <c r="A14" s="285" t="s">
        <v>131</v>
      </c>
      <c r="B14" s="155"/>
      <c r="C14" s="196">
        <v>307</v>
      </c>
      <c r="D14" s="155"/>
      <c r="E14" s="221">
        <v>212</v>
      </c>
      <c r="F14" s="155"/>
      <c r="G14" s="221">
        <v>186</v>
      </c>
      <c r="H14" s="155"/>
      <c r="I14" s="221">
        <v>229</v>
      </c>
      <c r="J14" s="155"/>
      <c r="K14" s="221">
        <v>2</v>
      </c>
    </row>
    <row r="15" spans="1:11" s="287" customFormat="1" ht="12.75">
      <c r="A15" s="286" t="s">
        <v>129</v>
      </c>
      <c r="B15" s="149"/>
      <c r="C15" s="196">
        <v>955</v>
      </c>
      <c r="D15" s="149"/>
      <c r="E15" s="196">
        <v>848</v>
      </c>
      <c r="F15" s="149"/>
      <c r="G15" s="196">
        <v>912</v>
      </c>
      <c r="H15" s="149"/>
      <c r="I15" s="196">
        <v>796</v>
      </c>
      <c r="J15" s="149"/>
      <c r="K15" s="196">
        <v>715</v>
      </c>
    </row>
    <row r="16" spans="1:11" s="291" customFormat="1" ht="12.75">
      <c r="A16" s="38" t="s">
        <v>91</v>
      </c>
      <c r="B16" s="252"/>
      <c r="C16" s="196">
        <v>692</v>
      </c>
      <c r="D16" s="252"/>
      <c r="E16" s="196">
        <v>-265</v>
      </c>
      <c r="F16" s="252"/>
      <c r="G16" s="196">
        <v>-440</v>
      </c>
      <c r="H16" s="252"/>
      <c r="I16" s="196">
        <f>I17-SUM(I2:I15)</f>
        <v>125</v>
      </c>
      <c r="J16" s="252"/>
      <c r="K16" s="196">
        <v>-269.07014858</v>
      </c>
    </row>
    <row r="17" spans="1:11" s="292" customFormat="1" ht="12.75">
      <c r="A17" s="113" t="s">
        <v>27</v>
      </c>
      <c r="B17" s="257"/>
      <c r="C17" s="231">
        <v>16992</v>
      </c>
      <c r="D17" s="257"/>
      <c r="E17" s="231">
        <v>16564</v>
      </c>
      <c r="F17" s="257"/>
      <c r="G17" s="231">
        <v>14977</v>
      </c>
      <c r="H17" s="257"/>
      <c r="I17" s="231">
        <v>14762</v>
      </c>
      <c r="J17" s="257"/>
      <c r="K17" s="231">
        <v>15188.29663867</v>
      </c>
    </row>
    <row r="18" spans="1:11" s="293" customFormat="1" ht="12.75">
      <c r="A18" s="118" t="s">
        <v>30</v>
      </c>
      <c r="B18" s="258"/>
      <c r="C18" s="198">
        <v>105.31</v>
      </c>
      <c r="D18" s="258"/>
      <c r="E18" s="198">
        <v>102.65</v>
      </c>
      <c r="F18" s="258"/>
      <c r="G18" s="198">
        <v>92.82</v>
      </c>
      <c r="H18" s="258"/>
      <c r="I18" s="198">
        <v>91.48</v>
      </c>
      <c r="J18" s="258"/>
      <c r="K18" s="198">
        <v>94.12777565412554</v>
      </c>
    </row>
    <row r="19" spans="1:11" s="293" customFormat="1" ht="12.75">
      <c r="A19" s="118" t="s">
        <v>33</v>
      </c>
      <c r="B19" s="258"/>
      <c r="C19" s="199">
        <v>79.72</v>
      </c>
      <c r="D19" s="258"/>
      <c r="E19" s="199">
        <v>78.92</v>
      </c>
      <c r="F19" s="258"/>
      <c r="G19" s="199">
        <v>73.46</v>
      </c>
      <c r="H19" s="258"/>
      <c r="I19" s="199">
        <v>72.51</v>
      </c>
      <c r="J19" s="258"/>
      <c r="K19" s="199">
        <v>78.83</v>
      </c>
    </row>
    <row r="20" spans="1:11" s="294" customFormat="1" ht="12.75">
      <c r="A20" s="122"/>
      <c r="B20" s="259"/>
      <c r="C20" s="200"/>
      <c r="D20" s="259"/>
      <c r="E20" s="200"/>
      <c r="F20" s="259"/>
      <c r="G20" s="200"/>
      <c r="H20" s="259"/>
      <c r="I20" s="200"/>
      <c r="J20" s="259"/>
      <c r="K20" s="200"/>
    </row>
    <row r="21" spans="1:11" s="295" customFormat="1" ht="12.75">
      <c r="A21" s="264" t="s">
        <v>81</v>
      </c>
      <c r="B21" s="265"/>
      <c r="C21" s="267">
        <v>161358287</v>
      </c>
      <c r="D21" s="265"/>
      <c r="E21" s="267">
        <v>161358287</v>
      </c>
      <c r="F21" s="265"/>
      <c r="G21" s="267">
        <v>161358287</v>
      </c>
      <c r="H21" s="265"/>
      <c r="I21" s="267">
        <v>161358287</v>
      </c>
      <c r="J21" s="265"/>
      <c r="K21" s="267">
        <v>161358287</v>
      </c>
    </row>
    <row r="22" spans="3:11" ht="12.75">
      <c r="C22" s="221"/>
      <c r="E22" s="221"/>
      <c r="G22" s="221"/>
      <c r="I22" s="221"/>
      <c r="K22" s="221"/>
    </row>
    <row r="23" spans="1:11" s="287" customFormat="1" ht="12.75" customHeight="1">
      <c r="A23" s="296"/>
      <c r="B23" s="224"/>
      <c r="C23" s="225"/>
      <c r="D23" s="224"/>
      <c r="E23" s="225"/>
      <c r="F23" s="224"/>
      <c r="G23" s="225"/>
      <c r="H23" s="224"/>
      <c r="I23" s="225"/>
      <c r="J23" s="224"/>
      <c r="K23" s="225"/>
    </row>
    <row r="24" spans="2:10" ht="12.75">
      <c r="B24" s="190"/>
      <c r="D24" s="190"/>
      <c r="F24" s="190"/>
      <c r="H24" s="190"/>
      <c r="J24" s="190"/>
    </row>
    <row r="25" spans="2:10" ht="12.75">
      <c r="B25" s="190"/>
      <c r="D25" s="190"/>
      <c r="F25" s="190"/>
      <c r="H25" s="190"/>
      <c r="J25" s="190"/>
    </row>
    <row r="26" spans="2:10" ht="12.75">
      <c r="B26" s="190"/>
      <c r="D26" s="190"/>
      <c r="F26" s="190"/>
      <c r="H26" s="190"/>
      <c r="J26" s="190"/>
    </row>
    <row r="27" spans="2:10" ht="12.75">
      <c r="B27" s="190"/>
      <c r="D27" s="190"/>
      <c r="F27" s="190"/>
      <c r="H27" s="190"/>
      <c r="J27" s="190"/>
    </row>
  </sheetData>
  <sheetProtection/>
  <printOptions/>
  <pageMargins left="0.28" right="0.2" top="0.984251969" bottom="0.984251969" header="0.4921259845" footer="0.4921259845"/>
  <pageSetup fitToHeight="1" fitToWidth="1" horizontalDpi="600" verticalDpi="600" orientation="landscape" paperSize="9" scale="60" r:id="rId1"/>
  <headerFooter alignWithMargins="0">
    <oddHeader>&amp;L"FR NL UK VAC trimestrielle.xls"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K19"/>
  <sheetViews>
    <sheetView showGridLines="0" zoomScalePageLayoutView="0" workbookViewId="0" topLeftCell="A1">
      <selection activeCell="A44" sqref="A44"/>
    </sheetView>
  </sheetViews>
  <sheetFormatPr defaultColWidth="11.421875" defaultRowHeight="12.75"/>
  <cols>
    <col min="1" max="1" width="40.28125" style="0" customWidth="1"/>
    <col min="2" max="2" width="36.00390625" style="0" customWidth="1"/>
    <col min="3" max="3" width="35.57421875" style="0" customWidth="1"/>
    <col min="4" max="4" width="11.57421875" style="191" customWidth="1"/>
    <col min="5" max="5" width="12.421875" style="203" customWidth="1"/>
    <col min="6" max="6" width="10.7109375" style="191" customWidth="1"/>
    <col min="7" max="7" width="11.421875" style="203" customWidth="1"/>
    <col min="8" max="8" width="11.421875" style="191" customWidth="1"/>
    <col min="9" max="9" width="12.7109375" style="203" customWidth="1"/>
    <col min="10" max="10" width="11.421875" style="191" customWidth="1"/>
    <col min="11" max="11" width="12.421875" style="203" customWidth="1"/>
    <col min="12" max="12" width="9.140625" style="73" hidden="1" customWidth="1"/>
    <col min="13" max="13" width="9.140625" style="72" hidden="1" customWidth="1"/>
    <col min="14" max="14" width="11.421875" style="191" customWidth="1"/>
    <col min="15" max="15" width="13.00390625" style="203" customWidth="1"/>
    <col min="16" max="16" width="11.421875" style="16" customWidth="1"/>
    <col min="17" max="17" width="12.421875" style="0" customWidth="1"/>
    <col min="18" max="18" width="11.421875" style="54" customWidth="1"/>
    <col min="19" max="19" width="12.28125" style="0" customWidth="1"/>
    <col min="20" max="20" width="11.421875" style="54" customWidth="1"/>
    <col min="21" max="21" width="11.421875" style="0" customWidth="1"/>
    <col min="22" max="22" width="9.140625" style="54" hidden="1" customWidth="1"/>
    <col min="23" max="23" width="9.140625" style="0" hidden="1" customWidth="1"/>
    <col min="24" max="24" width="9.140625" style="54" hidden="1" customWidth="1"/>
    <col min="25" max="25" width="9.140625" style="0" hidden="1" customWidth="1"/>
    <col min="26" max="26" width="11.57421875" style="55" hidden="1" customWidth="1"/>
    <col min="27" max="27" width="9.140625" style="0" hidden="1" customWidth="1"/>
    <col min="28" max="28" width="9.140625" style="55" hidden="1" customWidth="1"/>
    <col min="29" max="29" width="9.140625" style="0" hidden="1" customWidth="1"/>
    <col min="30" max="30" width="11.57421875" style="56" hidden="1" customWidth="1"/>
    <col min="31" max="33" width="9.140625" style="0" hidden="1" customWidth="1"/>
    <col min="34" max="37" width="11.421875" style="0" hidden="1" customWidth="1"/>
    <col min="38" max="38" width="11.421875" style="0" customWidth="1"/>
    <col min="39" max="40" width="9.140625" style="0" hidden="1" customWidth="1"/>
  </cols>
  <sheetData>
    <row r="1" spans="1:37" s="87" customFormat="1" ht="22.5" customHeight="1">
      <c r="A1" s="79" t="s">
        <v>39</v>
      </c>
      <c r="B1" s="79" t="s">
        <v>40</v>
      </c>
      <c r="C1" s="79" t="s">
        <v>41</v>
      </c>
      <c r="D1" s="222"/>
      <c r="E1" s="204">
        <v>36525</v>
      </c>
      <c r="F1" s="222"/>
      <c r="G1" s="204">
        <v>36420</v>
      </c>
      <c r="H1" s="222"/>
      <c r="I1" s="204">
        <v>36341</v>
      </c>
      <c r="J1" s="222"/>
      <c r="K1" s="204">
        <v>36231</v>
      </c>
      <c r="L1" s="223"/>
      <c r="M1" s="147">
        <v>36651</v>
      </c>
      <c r="N1" s="222"/>
      <c r="O1" s="204">
        <v>36160</v>
      </c>
      <c r="P1" s="80"/>
      <c r="Q1" s="81"/>
      <c r="R1" s="82"/>
      <c r="S1" s="81"/>
      <c r="T1" s="82"/>
      <c r="U1" s="81"/>
      <c r="V1" s="82"/>
      <c r="W1" s="81">
        <v>36341</v>
      </c>
      <c r="X1" s="81"/>
      <c r="Y1" s="81">
        <v>36231</v>
      </c>
      <c r="Z1" s="81"/>
      <c r="AA1" s="81">
        <v>36160</v>
      </c>
      <c r="AB1" s="83"/>
      <c r="AC1" s="81">
        <v>36052</v>
      </c>
      <c r="AD1" s="84" t="s">
        <v>3</v>
      </c>
      <c r="AE1" s="85">
        <v>35976</v>
      </c>
      <c r="AF1" s="84" t="s">
        <v>3</v>
      </c>
      <c r="AG1" s="85">
        <v>35884</v>
      </c>
      <c r="AH1" s="86" t="s">
        <v>3</v>
      </c>
      <c r="AI1" s="85">
        <v>35795</v>
      </c>
      <c r="AK1" s="87">
        <v>40.3399</v>
      </c>
    </row>
    <row r="2" spans="1:17" ht="12.75">
      <c r="A2" s="12" t="s">
        <v>42</v>
      </c>
      <c r="B2" s="30" t="str">
        <f>A2</f>
        <v>Suez Lyonnaise des Eaux</v>
      </c>
      <c r="C2" s="30" t="str">
        <f>A2</f>
        <v>Suez Lyonnaise des Eaux</v>
      </c>
      <c r="D2" s="155">
        <v>159.1</v>
      </c>
      <c r="E2" s="208">
        <v>2126</v>
      </c>
      <c r="F2" s="155">
        <v>159.9</v>
      </c>
      <c r="G2" s="208">
        <v>2134</v>
      </c>
      <c r="H2" s="155">
        <v>174.9</v>
      </c>
      <c r="I2" s="208">
        <v>2278</v>
      </c>
      <c r="J2" s="155">
        <v>173.2</v>
      </c>
      <c r="K2" s="208">
        <v>2197</v>
      </c>
      <c r="L2" s="157">
        <v>134</v>
      </c>
      <c r="M2" s="156">
        <v>5365</v>
      </c>
      <c r="N2" s="155">
        <v>175.01</v>
      </c>
      <c r="O2" s="208">
        <v>2125</v>
      </c>
      <c r="P2" s="14"/>
      <c r="Q2" s="15"/>
    </row>
    <row r="3" spans="1:17" ht="12.75">
      <c r="A3" s="30" t="s">
        <v>64</v>
      </c>
      <c r="B3" s="30" t="str">
        <f>A3</f>
        <v>TotalFina</v>
      </c>
      <c r="C3" s="30" t="str">
        <f>A3</f>
        <v>TotalFina</v>
      </c>
      <c r="D3" s="155">
        <v>132.5</v>
      </c>
      <c r="E3" s="208">
        <v>2577</v>
      </c>
      <c r="F3" s="155">
        <v>120.9</v>
      </c>
      <c r="G3" s="208">
        <v>2351</v>
      </c>
      <c r="H3" s="155">
        <v>125.1</v>
      </c>
      <c r="I3" s="208">
        <v>2399</v>
      </c>
      <c r="J3" s="155">
        <v>102.29</v>
      </c>
      <c r="K3" s="208">
        <v>1921</v>
      </c>
      <c r="L3" s="157">
        <v>161.5</v>
      </c>
      <c r="M3" s="156">
        <v>3177</v>
      </c>
      <c r="N3" s="155">
        <v>86.76</v>
      </c>
      <c r="O3" s="208">
        <v>1590</v>
      </c>
      <c r="P3" s="14"/>
      <c r="Q3" s="15"/>
    </row>
    <row r="4" spans="1:17" ht="12.75">
      <c r="A4" s="30" t="s">
        <v>44</v>
      </c>
      <c r="B4" s="30" t="str">
        <f>A4</f>
        <v>Audiofina</v>
      </c>
      <c r="C4" s="30" t="str">
        <f>A4</f>
        <v>Audiofina</v>
      </c>
      <c r="D4" s="155">
        <v>75</v>
      </c>
      <c r="E4" s="209">
        <v>3215</v>
      </c>
      <c r="F4" s="155">
        <v>48.35</v>
      </c>
      <c r="G4" s="209">
        <v>1302</v>
      </c>
      <c r="H4" s="155">
        <v>46.55</v>
      </c>
      <c r="I4" s="209">
        <v>1242</v>
      </c>
      <c r="J4" s="155">
        <v>37.45</v>
      </c>
      <c r="K4" s="209">
        <v>991</v>
      </c>
      <c r="L4" s="157">
        <v>180</v>
      </c>
      <c r="M4" s="164">
        <v>2433</v>
      </c>
      <c r="N4" s="155">
        <v>38.42</v>
      </c>
      <c r="O4" s="209">
        <v>993</v>
      </c>
      <c r="P4" s="14"/>
      <c r="Q4" s="18"/>
    </row>
    <row r="5" spans="1:17" ht="12.75">
      <c r="A5" s="30" t="s">
        <v>14</v>
      </c>
      <c r="B5" s="30" t="str">
        <f>A5</f>
        <v>Imerys</v>
      </c>
      <c r="C5" s="30" t="str">
        <f>A5</f>
        <v>Imerys</v>
      </c>
      <c r="D5" s="155">
        <v>148</v>
      </c>
      <c r="E5" s="208">
        <v>620</v>
      </c>
      <c r="F5" s="155">
        <v>149.1</v>
      </c>
      <c r="G5" s="208">
        <v>624</v>
      </c>
      <c r="H5" s="155">
        <v>144</v>
      </c>
      <c r="I5" s="208">
        <v>603</v>
      </c>
      <c r="J5" s="155">
        <v>99.6</v>
      </c>
      <c r="K5" s="208">
        <v>417</v>
      </c>
      <c r="L5" s="157">
        <v>130.9</v>
      </c>
      <c r="M5" s="156">
        <v>548</v>
      </c>
      <c r="N5" s="155">
        <v>85.37</v>
      </c>
      <c r="O5" s="208">
        <v>357</v>
      </c>
      <c r="P5" s="14"/>
      <c r="Q5" s="15"/>
    </row>
    <row r="6" spans="1:17" ht="12.75">
      <c r="A6" s="30" t="s">
        <v>15</v>
      </c>
      <c r="B6" s="30" t="str">
        <f>A6</f>
        <v>Rhodia</v>
      </c>
      <c r="C6" s="30" t="str">
        <f>A6</f>
        <v>Rhodia</v>
      </c>
      <c r="D6" s="155">
        <v>22.44</v>
      </c>
      <c r="E6" s="210">
        <v>201</v>
      </c>
      <c r="F6" s="155"/>
      <c r="G6" s="226" t="s">
        <v>4</v>
      </c>
      <c r="H6" s="155"/>
      <c r="I6" s="226" t="s">
        <v>4</v>
      </c>
      <c r="J6" s="155"/>
      <c r="K6" s="226" t="s">
        <v>4</v>
      </c>
      <c r="L6" s="157">
        <v>20.55</v>
      </c>
      <c r="M6" s="165">
        <v>184</v>
      </c>
      <c r="N6" s="155"/>
      <c r="O6" s="226" t="s">
        <v>4</v>
      </c>
      <c r="P6" s="14"/>
      <c r="Q6" s="62"/>
    </row>
    <row r="7" spans="1:17" ht="12.75">
      <c r="A7" s="30" t="s">
        <v>17</v>
      </c>
      <c r="B7" s="30" t="s">
        <v>18</v>
      </c>
      <c r="C7" s="30" t="s">
        <v>19</v>
      </c>
      <c r="D7" s="155"/>
      <c r="E7" s="208">
        <v>216</v>
      </c>
      <c r="F7" s="155"/>
      <c r="G7" s="208">
        <v>266</v>
      </c>
      <c r="H7" s="155"/>
      <c r="I7" s="208">
        <v>257</v>
      </c>
      <c r="J7" s="155"/>
      <c r="K7" s="208">
        <v>215</v>
      </c>
      <c r="L7" s="166"/>
      <c r="M7" s="156">
        <v>245</v>
      </c>
      <c r="N7" s="155"/>
      <c r="O7" s="208">
        <v>187</v>
      </c>
      <c r="P7" s="14"/>
      <c r="Q7" s="15"/>
    </row>
    <row r="8" spans="1:17" ht="12.75">
      <c r="A8" s="38" t="s">
        <v>47</v>
      </c>
      <c r="B8" s="38" t="s">
        <v>48</v>
      </c>
      <c r="C8" s="38" t="s">
        <v>49</v>
      </c>
      <c r="D8" s="155"/>
      <c r="E8" s="211">
        <v>-594</v>
      </c>
      <c r="F8" s="155"/>
      <c r="G8" s="211">
        <v>392</v>
      </c>
      <c r="H8" s="155"/>
      <c r="I8" s="211">
        <v>414</v>
      </c>
      <c r="J8" s="155"/>
      <c r="K8" s="211">
        <v>527</v>
      </c>
      <c r="L8" s="168"/>
      <c r="M8" s="167">
        <v>-322</v>
      </c>
      <c r="N8" s="155"/>
      <c r="O8" s="211">
        <v>603</v>
      </c>
      <c r="P8" s="14"/>
      <c r="Q8" s="40"/>
    </row>
    <row r="9" spans="1:30" s="102" customFormat="1" ht="12.75">
      <c r="A9" s="113" t="s">
        <v>50</v>
      </c>
      <c r="B9" s="114" t="s">
        <v>51</v>
      </c>
      <c r="C9" s="114" t="s">
        <v>27</v>
      </c>
      <c r="D9" s="228"/>
      <c r="E9" s="229">
        <f>SUM(E2:E8)</f>
        <v>8361</v>
      </c>
      <c r="F9" s="228"/>
      <c r="G9" s="229">
        <f>SUM(G2:G8)</f>
        <v>7069</v>
      </c>
      <c r="H9" s="230"/>
      <c r="I9" s="229">
        <f>SUM(I2:I8)</f>
        <v>7193</v>
      </c>
      <c r="J9" s="230"/>
      <c r="K9" s="229">
        <f>SUM(K2:K8)</f>
        <v>6268</v>
      </c>
      <c r="L9" s="116">
        <f>SUM(L5:L8)</f>
        <v>151.45000000000002</v>
      </c>
      <c r="M9" s="116">
        <f>SUM(M5:M8)</f>
        <v>655</v>
      </c>
      <c r="N9" s="230"/>
      <c r="O9" s="229">
        <f>SUM(O2:O8)</f>
        <v>5855</v>
      </c>
      <c r="P9" s="100"/>
      <c r="Q9" s="99"/>
      <c r="R9" s="101"/>
      <c r="T9" s="101"/>
      <c r="V9" s="101"/>
      <c r="X9" s="101"/>
      <c r="Z9" s="103"/>
      <c r="AB9" s="103"/>
      <c r="AD9" s="104"/>
    </row>
    <row r="10" spans="1:17" ht="12.75">
      <c r="A10" s="118" t="s">
        <v>52</v>
      </c>
      <c r="B10" s="118" t="s">
        <v>53</v>
      </c>
      <c r="C10" s="118" t="s">
        <v>54</v>
      </c>
      <c r="D10" s="174"/>
      <c r="E10" s="213">
        <v>68.44</v>
      </c>
      <c r="F10" s="174"/>
      <c r="G10" s="213">
        <v>57.87</v>
      </c>
      <c r="H10" s="174"/>
      <c r="I10" s="213">
        <v>58.88</v>
      </c>
      <c r="J10" s="174"/>
      <c r="K10" s="213">
        <v>51.31</v>
      </c>
      <c r="L10" s="177"/>
      <c r="M10" s="176">
        <v>476.02</v>
      </c>
      <c r="N10" s="174"/>
      <c r="O10" s="213">
        <v>47.93</v>
      </c>
      <c r="P10" s="45"/>
      <c r="Q10" s="36"/>
    </row>
    <row r="11" spans="1:17" ht="12.75">
      <c r="A11" s="118" t="s">
        <v>55</v>
      </c>
      <c r="B11" s="118" t="s">
        <v>56</v>
      </c>
      <c r="C11" s="118" t="s">
        <v>57</v>
      </c>
      <c r="D11" s="174"/>
      <c r="E11" s="214">
        <v>40</v>
      </c>
      <c r="F11" s="174"/>
      <c r="G11" s="214">
        <v>37.38</v>
      </c>
      <c r="H11" s="174"/>
      <c r="I11" s="214">
        <v>32.78</v>
      </c>
      <c r="J11" s="174"/>
      <c r="K11" s="214">
        <v>33.5</v>
      </c>
      <c r="L11" s="177"/>
      <c r="M11" s="179">
        <v>267.5</v>
      </c>
      <c r="N11" s="174"/>
      <c r="O11" s="214">
        <v>34.71</v>
      </c>
      <c r="P11" s="45"/>
      <c r="Q11" s="48"/>
    </row>
    <row r="12" spans="1:17" ht="12.75">
      <c r="A12" s="122" t="s">
        <v>34</v>
      </c>
      <c r="B12" s="122" t="s">
        <v>35</v>
      </c>
      <c r="C12" s="122" t="s">
        <v>36</v>
      </c>
      <c r="D12" s="180"/>
      <c r="E12" s="215">
        <v>0.416</v>
      </c>
      <c r="F12" s="180"/>
      <c r="G12" s="215">
        <v>0.354</v>
      </c>
      <c r="H12" s="180"/>
      <c r="I12" s="215">
        <v>0.443</v>
      </c>
      <c r="J12" s="180"/>
      <c r="K12" s="215">
        <v>0.347</v>
      </c>
      <c r="L12" s="183"/>
      <c r="M12" s="182">
        <v>0.438</v>
      </c>
      <c r="N12" s="180"/>
      <c r="O12" s="215">
        <v>0.276</v>
      </c>
      <c r="P12" s="50"/>
      <c r="Q12" s="51"/>
    </row>
    <row r="13" spans="1:17" ht="12.75">
      <c r="A13" s="126" t="s">
        <v>58</v>
      </c>
      <c r="B13" s="126" t="s">
        <v>59</v>
      </c>
      <c r="C13" s="126" t="s">
        <v>60</v>
      </c>
      <c r="D13" s="171"/>
      <c r="E13" s="212">
        <v>122160125</v>
      </c>
      <c r="F13" s="171"/>
      <c r="G13" s="212">
        <v>122160125</v>
      </c>
      <c r="H13" s="171"/>
      <c r="I13" s="212">
        <v>122160125</v>
      </c>
      <c r="J13" s="171"/>
      <c r="K13" s="212">
        <v>122160125</v>
      </c>
      <c r="L13" s="184"/>
      <c r="M13" s="173">
        <v>24432025</v>
      </c>
      <c r="N13" s="171"/>
      <c r="O13" s="212">
        <v>122160125</v>
      </c>
      <c r="P13" s="14"/>
      <c r="Q13" s="18"/>
    </row>
    <row r="15" spans="1:33" s="19" customFormat="1" ht="12.75" customHeight="1">
      <c r="A15" s="96" t="s">
        <v>61</v>
      </c>
      <c r="B15" s="57" t="s">
        <v>74</v>
      </c>
      <c r="C15" s="58" t="s">
        <v>62</v>
      </c>
      <c r="D15" s="224"/>
      <c r="E15" s="225"/>
      <c r="F15" s="224"/>
      <c r="G15" s="225"/>
      <c r="H15" s="224"/>
      <c r="I15" s="225"/>
      <c r="J15" s="224"/>
      <c r="K15" s="227"/>
      <c r="L15" s="75"/>
      <c r="M15" s="76"/>
      <c r="N15" s="224"/>
      <c r="O15" s="225"/>
      <c r="P15" s="57"/>
      <c r="Q15" s="60"/>
      <c r="R15" s="57"/>
      <c r="S15" s="60"/>
      <c r="T15" s="57"/>
      <c r="W15" s="36"/>
      <c r="X15" s="30"/>
      <c r="Y15" s="36"/>
      <c r="Z15" s="33"/>
      <c r="AA15" s="33"/>
      <c r="AB15" s="33"/>
      <c r="AC15" s="33"/>
      <c r="AD15" s="33"/>
      <c r="AE15" s="33"/>
      <c r="AF15" s="33"/>
      <c r="AG15" s="30"/>
    </row>
    <row r="16" spans="4:30" ht="12.75">
      <c r="D16" s="190"/>
      <c r="L16" s="74"/>
      <c r="N16" s="190"/>
      <c r="R16" s="16"/>
      <c r="X16" s="55"/>
      <c r="AB16" s="56"/>
      <c r="AD16"/>
    </row>
    <row r="17" spans="2:17" ht="12.75">
      <c r="B17" s="63"/>
      <c r="C17" s="57"/>
      <c r="D17" s="188"/>
      <c r="E17" s="202"/>
      <c r="F17" s="189"/>
      <c r="G17" s="202"/>
      <c r="H17" s="189"/>
      <c r="I17" s="202"/>
      <c r="J17" s="189"/>
      <c r="K17" s="202"/>
      <c r="L17" s="76"/>
      <c r="M17" s="75"/>
      <c r="N17" s="188"/>
      <c r="O17" s="202"/>
      <c r="P17" s="59"/>
      <c r="Q17" s="57"/>
    </row>
    <row r="18" spans="1:14" ht="12.75">
      <c r="A18" s="300"/>
      <c r="B18" s="300"/>
      <c r="C18" s="300"/>
      <c r="D18" s="190"/>
      <c r="L18" s="74"/>
      <c r="N18" s="190"/>
    </row>
    <row r="19" spans="1:14" ht="12.75">
      <c r="A19" s="300"/>
      <c r="B19" s="300"/>
      <c r="C19" s="300"/>
      <c r="D19" s="190"/>
      <c r="L19" s="74"/>
      <c r="N19" s="190"/>
    </row>
  </sheetData>
  <sheetProtection/>
  <mergeCells count="2">
    <mergeCell ref="A18:C18"/>
    <mergeCell ref="A19:C19"/>
  </mergeCells>
  <printOptions/>
  <pageMargins left="0.787401575" right="0.787401575" top="0.984251969" bottom="0.984251969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showGridLines="0" tabSelected="1" zoomScale="85" zoomScaleNormal="85" zoomScalePageLayoutView="0" workbookViewId="0" topLeftCell="A1">
      <selection activeCell="G7" sqref="G7"/>
    </sheetView>
  </sheetViews>
  <sheetFormatPr defaultColWidth="11.421875" defaultRowHeight="12.75"/>
  <cols>
    <col min="1" max="1" width="35.7109375" style="296" bestFit="1" customWidth="1"/>
    <col min="2" max="2" width="13.421875" style="191" customWidth="1"/>
    <col min="3" max="3" width="12.421875" style="203" customWidth="1"/>
    <col min="4" max="4" width="13.421875" style="191" customWidth="1"/>
    <col min="5" max="5" width="12.421875" style="203" customWidth="1"/>
    <col min="6" max="16384" width="11.421875" style="296" customWidth="1"/>
  </cols>
  <sheetData>
    <row r="1" spans="1:5" s="284" customFormat="1" ht="12.75">
      <c r="A1" s="283" t="s">
        <v>0</v>
      </c>
      <c r="B1" s="144"/>
      <c r="C1" s="256">
        <v>42825</v>
      </c>
      <c r="D1" s="144"/>
      <c r="E1" s="256">
        <v>42735</v>
      </c>
    </row>
    <row r="2" spans="1:5" s="287" customFormat="1" ht="12.75">
      <c r="A2" s="30" t="s">
        <v>88</v>
      </c>
      <c r="B2" s="155">
        <v>79.57</v>
      </c>
      <c r="C2" s="196">
        <v>3410</v>
      </c>
      <c r="D2" s="155">
        <v>72.07</v>
      </c>
      <c r="E2" s="196">
        <v>3088</v>
      </c>
    </row>
    <row r="3" spans="1:5" s="287" customFormat="1" ht="12.75">
      <c r="A3" s="12" t="s">
        <v>130</v>
      </c>
      <c r="B3" s="155">
        <v>55.5</v>
      </c>
      <c r="C3" s="209">
        <v>3177</v>
      </c>
      <c r="D3" s="155">
        <v>49.92</v>
      </c>
      <c r="E3" s="209">
        <v>2857</v>
      </c>
    </row>
    <row r="4" spans="1:5" s="288" customFormat="1" ht="12.75">
      <c r="A4" s="12" t="s">
        <v>132</v>
      </c>
      <c r="B4" s="155">
        <v>178.3</v>
      </c>
      <c r="C4" s="196">
        <v>2798</v>
      </c>
      <c r="D4" s="155">
        <v>150.15</v>
      </c>
      <c r="E4" s="196">
        <v>2356</v>
      </c>
    </row>
    <row r="5" spans="1:5" s="287" customFormat="1" ht="12.75">
      <c r="A5" s="30" t="s">
        <v>97</v>
      </c>
      <c r="B5" s="299">
        <v>2137</v>
      </c>
      <c r="C5" s="196">
        <v>2531</v>
      </c>
      <c r="D5" s="299">
        <v>2072</v>
      </c>
      <c r="E5" s="196">
        <v>2445</v>
      </c>
    </row>
    <row r="6" spans="1:5" s="287" customFormat="1" ht="12.75">
      <c r="A6" s="1" t="s">
        <v>86</v>
      </c>
      <c r="B6" s="149">
        <v>110.9</v>
      </c>
      <c r="C6" s="196">
        <v>2206</v>
      </c>
      <c r="D6" s="149">
        <v>102.95</v>
      </c>
      <c r="E6" s="196">
        <v>2048</v>
      </c>
    </row>
    <row r="7" spans="1:5" s="287" customFormat="1" ht="12.75">
      <c r="A7" s="12" t="s">
        <v>133</v>
      </c>
      <c r="B7" s="155">
        <v>53.4</v>
      </c>
      <c r="C7" s="196">
        <v>1017</v>
      </c>
      <c r="D7" s="155">
        <v>54.15</v>
      </c>
      <c r="E7" s="196">
        <v>1032</v>
      </c>
    </row>
    <row r="8" spans="1:5" s="287" customFormat="1" ht="12.75">
      <c r="A8" s="30" t="s">
        <v>83</v>
      </c>
      <c r="B8" s="155">
        <v>47.42</v>
      </c>
      <c r="C8" s="196">
        <v>768</v>
      </c>
      <c r="D8" s="155">
        <v>48.72</v>
      </c>
      <c r="E8" s="196">
        <v>789</v>
      </c>
    </row>
    <row r="9" spans="1:5" s="287" customFormat="1" ht="12.75">
      <c r="A9" s="1" t="s">
        <v>98</v>
      </c>
      <c r="B9" s="155"/>
      <c r="C9" s="196"/>
      <c r="D9" s="155"/>
      <c r="E9" s="196"/>
    </row>
    <row r="10" spans="1:5" s="287" customFormat="1" ht="12.75">
      <c r="A10" s="12" t="s">
        <v>124</v>
      </c>
      <c r="B10" s="155">
        <v>30.1</v>
      </c>
      <c r="C10" s="196">
        <v>495</v>
      </c>
      <c r="D10" s="155">
        <v>28.25</v>
      </c>
      <c r="E10" s="196">
        <v>423</v>
      </c>
    </row>
    <row r="11" spans="1:5" s="287" customFormat="1" ht="12.75">
      <c r="A11" s="12" t="s">
        <v>134</v>
      </c>
      <c r="B11" s="301">
        <v>17.24</v>
      </c>
      <c r="C11" s="196">
        <v>266</v>
      </c>
      <c r="D11" s="301">
        <v>14.97</v>
      </c>
      <c r="E11" s="196">
        <v>230</v>
      </c>
    </row>
    <row r="12" spans="1:5" s="287" customFormat="1" ht="12.75">
      <c r="A12" s="12" t="s">
        <v>131</v>
      </c>
      <c r="B12" s="155"/>
      <c r="C12" s="196">
        <v>67</v>
      </c>
      <c r="D12" s="155"/>
      <c r="E12" s="196">
        <v>77</v>
      </c>
    </row>
    <row r="13" spans="1:5" s="287" customFormat="1" ht="12.75">
      <c r="A13" s="286" t="s">
        <v>129</v>
      </c>
      <c r="B13" s="149"/>
      <c r="C13" s="196">
        <v>817</v>
      </c>
      <c r="D13" s="149"/>
      <c r="E13" s="196">
        <v>955</v>
      </c>
    </row>
    <row r="14" spans="1:5" s="291" customFormat="1" ht="12.75">
      <c r="A14" s="38" t="s">
        <v>91</v>
      </c>
      <c r="B14" s="252"/>
      <c r="C14" s="196">
        <v>978</v>
      </c>
      <c r="D14" s="252"/>
      <c r="E14" s="196">
        <v>692</v>
      </c>
    </row>
    <row r="15" spans="1:5" s="292" customFormat="1" ht="12.75">
      <c r="A15" s="113" t="s">
        <v>27</v>
      </c>
      <c r="B15" s="257"/>
      <c r="C15" s="231">
        <v>18530</v>
      </c>
      <c r="D15" s="257"/>
      <c r="E15" s="231">
        <v>16992</v>
      </c>
    </row>
    <row r="16" spans="1:5" s="293" customFormat="1" ht="12.75">
      <c r="A16" s="118" t="s">
        <v>30</v>
      </c>
      <c r="B16" s="258"/>
      <c r="C16" s="198">
        <v>114.84</v>
      </c>
      <c r="D16" s="258"/>
      <c r="E16" s="198">
        <v>105.31</v>
      </c>
    </row>
    <row r="17" spans="1:5" s="293" customFormat="1" ht="12.75">
      <c r="A17" s="118" t="s">
        <v>33</v>
      </c>
      <c r="B17" s="258"/>
      <c r="C17" s="199">
        <v>85.1</v>
      </c>
      <c r="D17" s="258"/>
      <c r="E17" s="199">
        <v>79.72</v>
      </c>
    </row>
    <row r="18" spans="1:5" s="294" customFormat="1" ht="12.75">
      <c r="A18" s="122"/>
      <c r="B18" s="259"/>
      <c r="C18" s="200"/>
      <c r="D18" s="259"/>
      <c r="E18" s="200"/>
    </row>
    <row r="19" spans="1:5" s="295" customFormat="1" ht="12.75">
      <c r="A19" s="264" t="s">
        <v>81</v>
      </c>
      <c r="B19" s="265"/>
      <c r="C19" s="267">
        <v>161358287</v>
      </c>
      <c r="D19" s="265"/>
      <c r="E19" s="267">
        <v>161358287</v>
      </c>
    </row>
    <row r="20" spans="3:5" ht="12.75">
      <c r="C20" s="221"/>
      <c r="E20" s="221"/>
    </row>
    <row r="21" spans="1:5" s="287" customFormat="1" ht="12.75" customHeight="1">
      <c r="A21" s="296"/>
      <c r="B21" s="224"/>
      <c r="C21" s="225"/>
      <c r="D21" s="224"/>
      <c r="E21" s="225"/>
    </row>
    <row r="22" spans="2:4" ht="12.75">
      <c r="B22" s="190"/>
      <c r="D22" s="190"/>
    </row>
    <row r="23" spans="2:4" ht="12.75">
      <c r="B23" s="190"/>
      <c r="D23" s="190"/>
    </row>
    <row r="24" spans="2:4" ht="12.75">
      <c r="B24" s="190"/>
      <c r="D24" s="190"/>
    </row>
    <row r="25" spans="2:4" ht="12.75">
      <c r="B25" s="190"/>
      <c r="D25" s="190"/>
    </row>
  </sheetData>
  <sheetProtection/>
  <printOptions/>
  <pageMargins left="0.28" right="0.2" top="0.984251969" bottom="0.984251969" header="0.4921259845" footer="0.4921259845"/>
  <pageSetup fitToHeight="1" fitToWidth="1" horizontalDpi="600" verticalDpi="600" orientation="landscape" paperSize="9" scale="60" r:id="rId1"/>
  <headerFooter alignWithMargins="0">
    <oddHeader>&amp;L"FR NL UK VAC trimestrielle.xls"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S20"/>
  <sheetViews>
    <sheetView showGridLines="0" zoomScalePageLayoutView="0" workbookViewId="0" topLeftCell="A1">
      <selection activeCell="A43" sqref="A43"/>
    </sheetView>
  </sheetViews>
  <sheetFormatPr defaultColWidth="11.421875" defaultRowHeight="12.75"/>
  <cols>
    <col min="1" max="1" width="32.140625" style="0" customWidth="1"/>
    <col min="2" max="2" width="33.28125" style="0" customWidth="1"/>
    <col min="3" max="3" width="33.421875" style="0" customWidth="1"/>
    <col min="4" max="4" width="11.57421875" style="191" customWidth="1"/>
    <col min="5" max="5" width="12.421875" style="203" customWidth="1"/>
    <col min="6" max="6" width="10.7109375" style="191" customWidth="1"/>
    <col min="7" max="7" width="11.421875" style="203" customWidth="1"/>
    <col min="8" max="8" width="11.421875" style="191" customWidth="1"/>
    <col min="9" max="9" width="12.7109375" style="203" customWidth="1"/>
    <col min="10" max="10" width="11.421875" style="191" customWidth="1"/>
    <col min="11" max="11" width="12.421875" style="203" customWidth="1"/>
    <col min="12" max="12" width="9.140625" style="73" hidden="1" customWidth="1"/>
    <col min="13" max="13" width="9.140625" style="72" hidden="1" customWidth="1"/>
    <col min="14" max="14" width="11.421875" style="191" customWidth="1"/>
    <col min="15" max="15" width="13.00390625" style="203" customWidth="1"/>
    <col min="16" max="16" width="11.421875" style="191" customWidth="1"/>
    <col min="17" max="17" width="12.421875" style="203" customWidth="1"/>
    <col min="18" max="18" width="11.421875" style="54" customWidth="1"/>
    <col min="19" max="19" width="12.28125" style="0" customWidth="1"/>
    <col min="20" max="20" width="11.421875" style="54" customWidth="1"/>
    <col min="21" max="21" width="11.421875" style="0" customWidth="1"/>
    <col min="22" max="22" width="9.140625" style="54" hidden="1" customWidth="1"/>
    <col min="23" max="23" width="9.140625" style="0" hidden="1" customWidth="1"/>
    <col min="24" max="24" width="9.140625" style="54" hidden="1" customWidth="1"/>
    <col min="25" max="25" width="9.140625" style="0" hidden="1" customWidth="1"/>
    <col min="26" max="26" width="11.57421875" style="55" hidden="1" customWidth="1"/>
    <col min="27" max="27" width="9.140625" style="0" hidden="1" customWidth="1"/>
    <col min="28" max="28" width="9.140625" style="55" hidden="1" customWidth="1"/>
    <col min="29" max="29" width="9.140625" style="0" hidden="1" customWidth="1"/>
    <col min="30" max="30" width="11.57421875" style="56" hidden="1" customWidth="1"/>
    <col min="31" max="33" width="9.140625" style="0" hidden="1" customWidth="1"/>
    <col min="34" max="37" width="11.421875" style="0" hidden="1" customWidth="1"/>
    <col min="38" max="38" width="11.421875" style="0" customWidth="1"/>
    <col min="39" max="40" width="9.140625" style="0" hidden="1" customWidth="1"/>
  </cols>
  <sheetData>
    <row r="1" spans="1:37" s="95" customFormat="1" ht="22.5" customHeight="1">
      <c r="A1" s="79" t="s">
        <v>39</v>
      </c>
      <c r="B1" s="79" t="s">
        <v>40</v>
      </c>
      <c r="C1" s="79" t="s">
        <v>41</v>
      </c>
      <c r="D1" s="146"/>
      <c r="E1" s="204">
        <v>36891</v>
      </c>
      <c r="F1" s="146"/>
      <c r="G1" s="204">
        <v>36833</v>
      </c>
      <c r="H1" s="146"/>
      <c r="I1" s="204">
        <v>36784</v>
      </c>
      <c r="J1" s="146"/>
      <c r="K1" s="204">
        <v>36707</v>
      </c>
      <c r="L1" s="148"/>
      <c r="M1" s="147">
        <v>36651</v>
      </c>
      <c r="N1" s="146"/>
      <c r="O1" s="204">
        <v>36595</v>
      </c>
      <c r="P1" s="146"/>
      <c r="Q1" s="204">
        <v>36525</v>
      </c>
      <c r="R1" s="91"/>
      <c r="S1" s="81"/>
      <c r="T1" s="92"/>
      <c r="U1" s="81"/>
      <c r="V1" s="92"/>
      <c r="W1" s="81">
        <v>36341</v>
      </c>
      <c r="X1" s="81"/>
      <c r="Y1" s="81">
        <v>36231</v>
      </c>
      <c r="Z1" s="81"/>
      <c r="AA1" s="81">
        <v>36160</v>
      </c>
      <c r="AB1" s="83"/>
      <c r="AC1" s="81">
        <v>36052</v>
      </c>
      <c r="AD1" s="93" t="s">
        <v>3</v>
      </c>
      <c r="AE1" s="85">
        <v>35976</v>
      </c>
      <c r="AF1" s="93" t="s">
        <v>3</v>
      </c>
      <c r="AG1" s="85">
        <v>35884</v>
      </c>
      <c r="AH1" s="94" t="s">
        <v>3</v>
      </c>
      <c r="AI1" s="85">
        <v>35795</v>
      </c>
      <c r="AK1" s="95">
        <v>40.3399</v>
      </c>
    </row>
    <row r="2" spans="1:37" s="11" customFormat="1" ht="12.75">
      <c r="A2" s="12" t="s">
        <v>5</v>
      </c>
      <c r="B2" s="30" t="str">
        <f>A2</f>
        <v>RTL Group</v>
      </c>
      <c r="C2" s="30" t="str">
        <f>A2</f>
        <v>RTL Group</v>
      </c>
      <c r="D2" s="155">
        <v>87.5</v>
      </c>
      <c r="E2" s="208">
        <v>3552</v>
      </c>
      <c r="F2" s="155">
        <v>99.85</v>
      </c>
      <c r="G2" s="208">
        <v>4040</v>
      </c>
      <c r="H2" s="155">
        <v>142.5</v>
      </c>
      <c r="I2" s="208">
        <v>5745</v>
      </c>
      <c r="J2" s="155">
        <v>135</v>
      </c>
      <c r="K2" s="208">
        <v>5422</v>
      </c>
      <c r="L2" s="157">
        <v>134</v>
      </c>
      <c r="M2" s="156">
        <v>5365</v>
      </c>
      <c r="N2" s="155">
        <v>155</v>
      </c>
      <c r="O2" s="208">
        <v>6206</v>
      </c>
      <c r="P2" s="155">
        <v>75</v>
      </c>
      <c r="Q2" s="208">
        <v>3215</v>
      </c>
      <c r="R2" s="14"/>
      <c r="S2" s="15"/>
      <c r="T2" s="5"/>
      <c r="U2" s="6"/>
      <c r="V2" s="5"/>
      <c r="W2" s="6"/>
      <c r="X2" s="5"/>
      <c r="Y2" s="6"/>
      <c r="Z2" s="6"/>
      <c r="AA2" s="6"/>
      <c r="AB2" s="6"/>
      <c r="AC2" s="6"/>
      <c r="AD2" s="7"/>
      <c r="AE2" s="6"/>
      <c r="AF2" s="8"/>
      <c r="AG2" s="9"/>
      <c r="AH2" s="8"/>
      <c r="AI2" s="9"/>
      <c r="AJ2" s="10"/>
      <c r="AK2" s="9"/>
    </row>
    <row r="3" spans="1:38" s="19" customFormat="1" ht="12.75">
      <c r="A3" s="20" t="s">
        <v>7</v>
      </c>
      <c r="B3" s="20" t="s">
        <v>8</v>
      </c>
      <c r="C3" s="20" t="s">
        <v>9</v>
      </c>
      <c r="D3" s="158"/>
      <c r="E3" s="207">
        <v>384</v>
      </c>
      <c r="F3" s="158"/>
      <c r="G3" s="207">
        <v>439</v>
      </c>
      <c r="H3" s="158"/>
      <c r="I3" s="207">
        <v>626</v>
      </c>
      <c r="J3" s="158"/>
      <c r="K3" s="207">
        <v>593</v>
      </c>
      <c r="L3" s="161"/>
      <c r="M3" s="217"/>
      <c r="N3" s="158"/>
      <c r="O3" s="207">
        <v>681</v>
      </c>
      <c r="P3" s="158"/>
      <c r="Q3" s="207">
        <v>1138</v>
      </c>
      <c r="R3" s="22"/>
      <c r="S3" s="23"/>
      <c r="T3" s="14"/>
      <c r="U3" s="15"/>
      <c r="V3" s="14">
        <v>48.35</v>
      </c>
      <c r="W3" s="15">
        <v>1302</v>
      </c>
      <c r="X3" s="14">
        <v>46.55</v>
      </c>
      <c r="Y3" s="15">
        <v>1242</v>
      </c>
      <c r="Z3" s="16">
        <v>37.45</v>
      </c>
      <c r="AA3" s="15">
        <v>991</v>
      </c>
      <c r="AB3" s="17" t="e">
        <f>1550/AM1</f>
        <v>#DIV/0!</v>
      </c>
      <c r="AC3" s="18" t="e">
        <f>40072/AM1</f>
        <v>#DIV/0!</v>
      </c>
      <c r="AD3" s="17" t="e">
        <f>1498/AM1</f>
        <v>#DIV/0!</v>
      </c>
      <c r="AE3" s="18" t="e">
        <f>38499/AM1</f>
        <v>#DIV/0!</v>
      </c>
      <c r="AF3" s="17" t="e">
        <f>1520/AM1</f>
        <v>#DIV/0!</v>
      </c>
      <c r="AG3" s="18" t="e">
        <f>38837/AM1</f>
        <v>#DIV/0!</v>
      </c>
      <c r="AH3" s="17" t="e">
        <f>1510/AM1</f>
        <v>#DIV/0!</v>
      </c>
      <c r="AI3" s="18" t="e">
        <f>26966/AM1</f>
        <v>#DIV/0!</v>
      </c>
      <c r="AJ3" s="4" t="e">
        <f>1510/AM1</f>
        <v>#DIV/0!</v>
      </c>
      <c r="AK3" s="18" t="e">
        <f>25184/AM1</f>
        <v>#DIV/0!</v>
      </c>
      <c r="AL3" s="12" t="s">
        <v>6</v>
      </c>
    </row>
    <row r="4" spans="1:175" s="29" customFormat="1" ht="14.25" customHeight="1">
      <c r="A4" s="20" t="s">
        <v>10</v>
      </c>
      <c r="B4" s="20" t="s">
        <v>11</v>
      </c>
      <c r="C4" s="20" t="s">
        <v>12</v>
      </c>
      <c r="D4" s="218"/>
      <c r="E4" s="221"/>
      <c r="F4" s="218"/>
      <c r="G4" s="221"/>
      <c r="H4" s="218"/>
      <c r="I4" s="221"/>
      <c r="J4" s="218"/>
      <c r="K4" s="221"/>
      <c r="L4" s="219"/>
      <c r="M4" s="219"/>
      <c r="N4" s="218"/>
      <c r="O4" s="221"/>
      <c r="P4" s="218"/>
      <c r="Q4" s="221"/>
      <c r="R4" s="48"/>
      <c r="S4" s="19"/>
      <c r="T4" s="24"/>
      <c r="U4" s="25"/>
      <c r="V4" s="24"/>
      <c r="W4" s="25"/>
      <c r="X4" s="24"/>
      <c r="Y4" s="25"/>
      <c r="Z4" s="26"/>
      <c r="AA4" s="25"/>
      <c r="AB4" s="27"/>
      <c r="AC4" s="28"/>
      <c r="AD4" s="27"/>
      <c r="AE4" s="28"/>
      <c r="AF4" s="27"/>
      <c r="AG4" s="28"/>
      <c r="AH4" s="27"/>
      <c r="AI4" s="28"/>
      <c r="AJ4" s="27"/>
      <c r="AK4" s="28"/>
      <c r="AL4" s="28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</row>
    <row r="5" spans="1:175" s="29" customFormat="1" ht="12.75">
      <c r="A5" s="30" t="s">
        <v>13</v>
      </c>
      <c r="B5" s="30" t="str">
        <f>A5</f>
        <v>TotalFinaElf</v>
      </c>
      <c r="C5" s="30" t="str">
        <f>B5</f>
        <v>TotalFinaElf</v>
      </c>
      <c r="D5" s="155">
        <v>158.4</v>
      </c>
      <c r="E5" s="208">
        <v>3080</v>
      </c>
      <c r="F5" s="155">
        <v>163</v>
      </c>
      <c r="G5" s="208">
        <v>3154</v>
      </c>
      <c r="H5" s="155">
        <v>180.6</v>
      </c>
      <c r="I5" s="208">
        <v>3592</v>
      </c>
      <c r="J5" s="155">
        <v>160.6</v>
      </c>
      <c r="K5" s="208">
        <v>3175</v>
      </c>
      <c r="L5" s="157">
        <v>161.5</v>
      </c>
      <c r="M5" s="156">
        <v>3177</v>
      </c>
      <c r="N5" s="155">
        <v>147.4</v>
      </c>
      <c r="O5" s="208">
        <v>2889</v>
      </c>
      <c r="P5" s="155">
        <v>132.5</v>
      </c>
      <c r="Q5" s="208">
        <v>2577</v>
      </c>
      <c r="R5" s="14"/>
      <c r="S5" s="15"/>
      <c r="T5" s="24"/>
      <c r="U5" s="25"/>
      <c r="V5" s="24"/>
      <c r="W5" s="25"/>
      <c r="X5" s="24"/>
      <c r="Y5" s="25"/>
      <c r="Z5" s="26"/>
      <c r="AA5" s="25"/>
      <c r="AB5" s="27"/>
      <c r="AC5" s="28"/>
      <c r="AD5" s="27"/>
      <c r="AE5" s="28"/>
      <c r="AF5" s="27"/>
      <c r="AG5" s="28"/>
      <c r="AH5" s="27"/>
      <c r="AI5" s="28"/>
      <c r="AJ5" s="27"/>
      <c r="AK5" s="28"/>
      <c r="AL5" s="28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</row>
    <row r="6" spans="1:38" s="19" customFormat="1" ht="12.75">
      <c r="A6" s="30" t="s">
        <v>42</v>
      </c>
      <c r="B6" s="30" t="str">
        <f>A6</f>
        <v>Suez Lyonnaise des Eaux</v>
      </c>
      <c r="C6" s="30" t="str">
        <f>A6</f>
        <v>Suez Lyonnaise des Eaux</v>
      </c>
      <c r="D6" s="155">
        <v>194.5</v>
      </c>
      <c r="E6" s="209">
        <v>2355</v>
      </c>
      <c r="F6" s="155">
        <v>183.6</v>
      </c>
      <c r="G6" s="209">
        <v>2304</v>
      </c>
      <c r="H6" s="155">
        <v>172.5</v>
      </c>
      <c r="I6" s="209">
        <v>2354</v>
      </c>
      <c r="J6" s="155">
        <v>183.5</v>
      </c>
      <c r="K6" s="209">
        <v>2493</v>
      </c>
      <c r="L6" s="157">
        <v>180</v>
      </c>
      <c r="M6" s="164">
        <v>2433</v>
      </c>
      <c r="N6" s="155">
        <v>190</v>
      </c>
      <c r="O6" s="209">
        <v>2559</v>
      </c>
      <c r="P6" s="155">
        <v>159.1</v>
      </c>
      <c r="Q6" s="209">
        <v>2126</v>
      </c>
      <c r="R6" s="14"/>
      <c r="S6" s="18"/>
      <c r="T6" s="14"/>
      <c r="U6" s="15"/>
      <c r="V6" s="14">
        <v>120.9</v>
      </c>
      <c r="W6" s="15">
        <v>2351</v>
      </c>
      <c r="X6" s="14">
        <v>125.1</v>
      </c>
      <c r="Y6" s="15">
        <v>2399</v>
      </c>
      <c r="Z6" s="32">
        <f>460.3/4.5</f>
        <v>102.28888888888889</v>
      </c>
      <c r="AA6" s="15">
        <v>1921</v>
      </c>
      <c r="AB6" s="17">
        <v>86.76</v>
      </c>
      <c r="AC6" s="18">
        <v>1590</v>
      </c>
      <c r="AD6" s="17" t="e">
        <f>12875/(#REF!*4.5)</f>
        <v>#REF!</v>
      </c>
      <c r="AE6" s="18" t="e">
        <f>52109/#REF!</f>
        <v>#REF!</v>
      </c>
      <c r="AF6" s="17" t="e">
        <f>15275/(#REF!*4.5)</f>
        <v>#REF!</v>
      </c>
      <c r="AG6" s="18" t="e">
        <f>61445/#REF!</f>
        <v>#REF!</v>
      </c>
      <c r="AH6" s="17" t="e">
        <f>13950/#REF!</f>
        <v>#REF!</v>
      </c>
      <c r="AI6" s="18" t="e">
        <f>38455/#REF!</f>
        <v>#REF!</v>
      </c>
      <c r="AJ6" s="4" t="e">
        <f>13675/#REF!</f>
        <v>#REF!</v>
      </c>
      <c r="AK6" s="18" t="e">
        <f>35072/#REF!</f>
        <v>#REF!</v>
      </c>
      <c r="AL6" s="30" t="s">
        <v>6</v>
      </c>
    </row>
    <row r="7" spans="1:38" s="19" customFormat="1" ht="12.75">
      <c r="A7" s="30" t="s">
        <v>14</v>
      </c>
      <c r="B7" s="30" t="str">
        <f>A7</f>
        <v>Imerys</v>
      </c>
      <c r="C7" s="30" t="str">
        <f>B7</f>
        <v>Imerys</v>
      </c>
      <c r="D7" s="155">
        <v>121</v>
      </c>
      <c r="E7" s="208">
        <v>507</v>
      </c>
      <c r="F7" s="155">
        <v>112.2</v>
      </c>
      <c r="G7" s="208">
        <v>470</v>
      </c>
      <c r="H7" s="155">
        <v>129.6</v>
      </c>
      <c r="I7" s="208">
        <v>543</v>
      </c>
      <c r="J7" s="155">
        <v>121.6</v>
      </c>
      <c r="K7" s="208">
        <v>509</v>
      </c>
      <c r="L7" s="157">
        <v>130.9</v>
      </c>
      <c r="M7" s="156">
        <v>548</v>
      </c>
      <c r="N7" s="155">
        <v>126.5</v>
      </c>
      <c r="O7" s="208">
        <v>530</v>
      </c>
      <c r="P7" s="155">
        <v>148</v>
      </c>
      <c r="Q7" s="208">
        <v>620</v>
      </c>
      <c r="R7" s="14"/>
      <c r="S7" s="15"/>
      <c r="T7" s="14"/>
      <c r="U7" s="18"/>
      <c r="V7" s="14">
        <v>159.9</v>
      </c>
      <c r="W7" s="18">
        <v>2134</v>
      </c>
      <c r="X7" s="14">
        <v>174.9</v>
      </c>
      <c r="Y7" s="18">
        <v>2278</v>
      </c>
      <c r="Z7" s="17">
        <v>173.2</v>
      </c>
      <c r="AA7" s="18">
        <v>2197</v>
      </c>
      <c r="AB7" s="17" t="e">
        <f>1148/AN1</f>
        <v>#DIV/0!</v>
      </c>
      <c r="AC7" s="18" t="e">
        <f>85728/AM1</f>
        <v>#DIV/0!</v>
      </c>
      <c r="AD7" s="17" t="e">
        <f>1029/AN1</f>
        <v>#DIV/0!</v>
      </c>
      <c r="AE7" s="18" t="e">
        <f>76396/AM1</f>
        <v>#DIV/0!</v>
      </c>
      <c r="AF7" s="17" t="e">
        <f>995/AN1</f>
        <v>#DIV/0!</v>
      </c>
      <c r="AG7" s="18" t="e">
        <f>73440/AM1</f>
        <v>#DIV/0!</v>
      </c>
      <c r="AH7" s="17" t="e">
        <f>889/AN1</f>
        <v>#DIV/0!</v>
      </c>
      <c r="AI7" s="18" t="e">
        <f>41140/AM1</f>
        <v>#DIV/0!</v>
      </c>
      <c r="AJ7" s="4" t="e">
        <f>666/AN1</f>
        <v>#DIV/0!</v>
      </c>
      <c r="AK7" s="18" t="e">
        <f>28071/AM1</f>
        <v>#DIV/0!</v>
      </c>
      <c r="AL7" s="30" t="s">
        <v>6</v>
      </c>
    </row>
    <row r="8" spans="1:38" s="19" customFormat="1" ht="12.75">
      <c r="A8" s="30" t="s">
        <v>15</v>
      </c>
      <c r="B8" s="30" t="str">
        <f>A8</f>
        <v>Rhodia</v>
      </c>
      <c r="C8" s="30" t="str">
        <f>A8</f>
        <v>Rhodia</v>
      </c>
      <c r="D8" s="155">
        <v>16.5</v>
      </c>
      <c r="E8" s="210">
        <v>181</v>
      </c>
      <c r="F8" s="155">
        <v>14.92</v>
      </c>
      <c r="G8" s="210">
        <v>165</v>
      </c>
      <c r="H8" s="155">
        <v>14.5</v>
      </c>
      <c r="I8" s="210">
        <v>162</v>
      </c>
      <c r="J8" s="155">
        <v>17.6</v>
      </c>
      <c r="K8" s="210">
        <v>181</v>
      </c>
      <c r="L8" s="157">
        <v>20.55</v>
      </c>
      <c r="M8" s="165">
        <v>184</v>
      </c>
      <c r="N8" s="155">
        <v>16.5</v>
      </c>
      <c r="O8" s="210">
        <v>148</v>
      </c>
      <c r="P8" s="155">
        <v>22.44</v>
      </c>
      <c r="Q8" s="210">
        <v>201</v>
      </c>
      <c r="R8" s="14"/>
      <c r="S8" s="33"/>
      <c r="T8" s="14"/>
      <c r="U8" s="15"/>
      <c r="V8" s="14">
        <v>149.1</v>
      </c>
      <c r="W8" s="15">
        <v>624</v>
      </c>
      <c r="X8" s="14">
        <v>144</v>
      </c>
      <c r="Y8" s="15">
        <v>603</v>
      </c>
      <c r="Z8" s="16">
        <v>99.6</v>
      </c>
      <c r="AA8" s="15">
        <v>417</v>
      </c>
      <c r="AB8" s="17" t="e">
        <f>560/AN1</f>
        <v>#DIV/0!</v>
      </c>
      <c r="AC8" s="18" t="e">
        <f>14416/AM1</f>
        <v>#DIV/0!</v>
      </c>
      <c r="AD8" s="17" t="e">
        <f>563/AN1</f>
        <v>#DIV/0!</v>
      </c>
      <c r="AE8" s="18" t="e">
        <f>14484/AM1</f>
        <v>#DIV/0!</v>
      </c>
      <c r="AF8" s="17" t="e">
        <f>831/AN1</f>
        <v>#DIV/0!</v>
      </c>
      <c r="AG8" s="18" t="e">
        <f>19136/AM1</f>
        <v>#DIV/0!</v>
      </c>
      <c r="AH8" s="17" t="e">
        <f>818/AN1</f>
        <v>#DIV/0!</v>
      </c>
      <c r="AI8" s="18" t="e">
        <f>16662/AM1</f>
        <v>#DIV/0!</v>
      </c>
      <c r="AJ8" s="4" t="e">
        <f>748/AN1</f>
        <v>#DIV/0!</v>
      </c>
      <c r="AK8" s="18" t="e">
        <f>15243/AM1</f>
        <v>#DIV/0!</v>
      </c>
      <c r="AL8" s="30" t="s">
        <v>6</v>
      </c>
    </row>
    <row r="9" spans="1:38" s="19" customFormat="1" ht="12.75">
      <c r="A9" s="30" t="s">
        <v>17</v>
      </c>
      <c r="B9" s="30" t="s">
        <v>18</v>
      </c>
      <c r="C9" s="30" t="s">
        <v>19</v>
      </c>
      <c r="D9" s="155"/>
      <c r="E9" s="208">
        <v>296</v>
      </c>
      <c r="F9" s="155"/>
      <c r="G9" s="208">
        <v>256</v>
      </c>
      <c r="H9" s="155"/>
      <c r="I9" s="208">
        <v>266</v>
      </c>
      <c r="J9" s="155"/>
      <c r="K9" s="208">
        <v>246</v>
      </c>
      <c r="L9" s="166"/>
      <c r="M9" s="156">
        <v>245</v>
      </c>
      <c r="N9" s="155"/>
      <c r="O9" s="208">
        <v>220</v>
      </c>
      <c r="P9" s="155"/>
      <c r="Q9" s="208">
        <v>216</v>
      </c>
      <c r="R9" s="14"/>
      <c r="S9" s="15"/>
      <c r="T9" s="14"/>
      <c r="U9" s="33"/>
      <c r="V9" s="33"/>
      <c r="W9" s="33" t="s">
        <v>16</v>
      </c>
      <c r="X9" s="34"/>
      <c r="Y9" s="33" t="s">
        <v>16</v>
      </c>
      <c r="Z9" s="35"/>
      <c r="AA9" s="33" t="s">
        <v>16</v>
      </c>
      <c r="AB9" s="36"/>
      <c r="AC9" s="33" t="s">
        <v>16</v>
      </c>
      <c r="AD9" s="36"/>
      <c r="AE9" s="33"/>
      <c r="AF9" s="36"/>
      <c r="AG9" s="33"/>
      <c r="AH9" s="36"/>
      <c r="AI9" s="18"/>
      <c r="AJ9" s="37"/>
      <c r="AK9" s="18"/>
      <c r="AL9" s="30"/>
    </row>
    <row r="10" spans="1:38" s="19" customFormat="1" ht="12.75">
      <c r="A10" s="38" t="s">
        <v>20</v>
      </c>
      <c r="B10" s="38" t="s">
        <v>21</v>
      </c>
      <c r="C10" s="38" t="s">
        <v>22</v>
      </c>
      <c r="D10" s="155"/>
      <c r="E10" s="211">
        <v>46</v>
      </c>
      <c r="F10" s="155"/>
      <c r="G10" s="211">
        <v>-56</v>
      </c>
      <c r="H10" s="155"/>
      <c r="I10" s="211">
        <v>-351</v>
      </c>
      <c r="J10" s="155"/>
      <c r="K10" s="211">
        <v>-353</v>
      </c>
      <c r="L10" s="168"/>
      <c r="M10" s="167">
        <v>-322</v>
      </c>
      <c r="N10" s="155"/>
      <c r="O10" s="211">
        <v>-307</v>
      </c>
      <c r="P10" s="155"/>
      <c r="Q10" s="211">
        <v>-594</v>
      </c>
      <c r="R10" s="14"/>
      <c r="S10" s="40"/>
      <c r="T10" s="34"/>
      <c r="U10" s="15"/>
      <c r="V10" s="34"/>
      <c r="W10" s="15">
        <v>266</v>
      </c>
      <c r="X10" s="34"/>
      <c r="Y10" s="15">
        <v>257</v>
      </c>
      <c r="Z10" s="35"/>
      <c r="AA10" s="15">
        <f>25+190</f>
        <v>215</v>
      </c>
      <c r="AB10" s="36" t="s">
        <v>3</v>
      </c>
      <c r="AC10" s="18" t="e">
        <f>7517/AM1+1</f>
        <v>#DIV/0!</v>
      </c>
      <c r="AD10" s="36" t="s">
        <v>3</v>
      </c>
      <c r="AE10" s="18" t="e">
        <f>10221/AM1</f>
        <v>#DIV/0!</v>
      </c>
      <c r="AF10" s="36" t="s">
        <v>6</v>
      </c>
      <c r="AG10" s="18" t="e">
        <f>13264/AM1</f>
        <v>#DIV/0!</v>
      </c>
      <c r="AH10" s="36" t="s">
        <v>6</v>
      </c>
      <c r="AI10" s="18" t="e">
        <f>15670/AM1+1</f>
        <v>#DIV/0!</v>
      </c>
      <c r="AJ10" s="37" t="s">
        <v>6</v>
      </c>
      <c r="AK10" s="18" t="e">
        <f>22978/AM1</f>
        <v>#DIV/0!</v>
      </c>
      <c r="AL10" s="30" t="s">
        <v>6</v>
      </c>
    </row>
    <row r="11" spans="1:38" s="40" customFormat="1" ht="12.75">
      <c r="A11" s="65" t="s">
        <v>7</v>
      </c>
      <c r="B11" s="65" t="s">
        <v>8</v>
      </c>
      <c r="C11" s="65" t="s">
        <v>23</v>
      </c>
      <c r="D11" s="158"/>
      <c r="E11" s="216">
        <v>-238</v>
      </c>
      <c r="F11" s="158"/>
      <c r="G11" s="216">
        <f>E11</f>
        <v>-238</v>
      </c>
      <c r="H11" s="158"/>
      <c r="I11" s="216">
        <v>-238</v>
      </c>
      <c r="J11" s="158"/>
      <c r="K11" s="216">
        <v>-238</v>
      </c>
      <c r="L11" s="170"/>
      <c r="M11" s="220"/>
      <c r="N11" s="158"/>
      <c r="O11" s="216">
        <v>-238</v>
      </c>
      <c r="P11" s="158"/>
      <c r="Q11" s="216">
        <v>-819</v>
      </c>
      <c r="R11" s="22"/>
      <c r="S11" s="25"/>
      <c r="T11" s="39"/>
      <c r="V11" s="39"/>
      <c r="W11" s="40">
        <v>392</v>
      </c>
      <c r="X11" s="39"/>
      <c r="Y11" s="40">
        <v>414</v>
      </c>
      <c r="Z11" s="41"/>
      <c r="AA11" s="40">
        <v>527</v>
      </c>
      <c r="AB11" s="42" t="s">
        <v>3</v>
      </c>
      <c r="AC11" s="42" t="e">
        <f>24308/AM1</f>
        <v>#DIV/0!</v>
      </c>
      <c r="AD11" s="42" t="s">
        <v>3</v>
      </c>
      <c r="AE11" s="42" t="e">
        <f>22554/AM1</f>
        <v>#DIV/0!</v>
      </c>
      <c r="AF11" s="42" t="s">
        <v>6</v>
      </c>
      <c r="AG11" s="42" t="e">
        <f>29104/AM1</f>
        <v>#DIV/0!</v>
      </c>
      <c r="AH11" s="42" t="s">
        <v>6</v>
      </c>
      <c r="AI11" s="42" t="e">
        <f>48989/AM1+1</f>
        <v>#DIV/0!</v>
      </c>
      <c r="AJ11" s="38" t="s">
        <v>6</v>
      </c>
      <c r="AK11" s="42" t="e">
        <f>37124/AM1+1</f>
        <v>#DIV/0!</v>
      </c>
      <c r="AL11" s="38" t="s">
        <v>6</v>
      </c>
    </row>
    <row r="12" spans="1:175" s="29" customFormat="1" ht="14.25" customHeight="1">
      <c r="A12" s="20" t="s">
        <v>10</v>
      </c>
      <c r="B12" s="20" t="s">
        <v>11</v>
      </c>
      <c r="C12" s="20" t="s">
        <v>24</v>
      </c>
      <c r="D12" s="149"/>
      <c r="E12" s="195"/>
      <c r="F12" s="158"/>
      <c r="G12" s="207"/>
      <c r="H12" s="158"/>
      <c r="I12" s="207"/>
      <c r="J12" s="158"/>
      <c r="K12" s="216"/>
      <c r="L12" s="161"/>
      <c r="M12" s="162"/>
      <c r="N12" s="158"/>
      <c r="O12" s="207"/>
      <c r="P12" s="158"/>
      <c r="Q12" s="216"/>
      <c r="R12" s="22"/>
      <c r="S12" s="25"/>
      <c r="T12" s="24"/>
      <c r="U12" s="25"/>
      <c r="V12" s="24"/>
      <c r="W12" s="25"/>
      <c r="X12" s="24"/>
      <c r="Y12" s="25"/>
      <c r="Z12" s="26"/>
      <c r="AA12" s="25"/>
      <c r="AB12" s="27"/>
      <c r="AC12" s="28"/>
      <c r="AD12" s="27"/>
      <c r="AE12" s="28"/>
      <c r="AF12" s="27"/>
      <c r="AG12" s="28"/>
      <c r="AH12" s="27"/>
      <c r="AI12" s="28"/>
      <c r="AJ12" s="27"/>
      <c r="AK12" s="28"/>
      <c r="AL12" s="28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</row>
    <row r="13" spans="1:175" s="134" customFormat="1" ht="12.75">
      <c r="A13" s="113" t="s">
        <v>50</v>
      </c>
      <c r="B13" s="114" t="s">
        <v>51</v>
      </c>
      <c r="C13" s="114" t="s">
        <v>27</v>
      </c>
      <c r="D13" s="228"/>
      <c r="E13" s="229">
        <f>SUM(E2:E11)-E3-E11</f>
        <v>10017</v>
      </c>
      <c r="F13" s="228"/>
      <c r="G13" s="229">
        <f>SUM(G2:G11)-G3-G11</f>
        <v>10333</v>
      </c>
      <c r="H13" s="230"/>
      <c r="I13" s="229">
        <f>SUM(I2:I11)-I3-I11</f>
        <v>12311</v>
      </c>
      <c r="J13" s="230"/>
      <c r="K13" s="229">
        <f>SUM(K2:K11)-K3-K11</f>
        <v>11673</v>
      </c>
      <c r="L13" s="116">
        <f>SUM(L2:L10)</f>
        <v>626.9499999999999</v>
      </c>
      <c r="M13" s="116">
        <f>SUM(M2:M10)</f>
        <v>11630</v>
      </c>
      <c r="N13" s="230"/>
      <c r="O13" s="229">
        <f>SUM(O2:O11)-O3-O11</f>
        <v>12245</v>
      </c>
      <c r="P13" s="230"/>
      <c r="Q13" s="229">
        <f>SUM(Q2:Q11)-Q3-Q11</f>
        <v>8361</v>
      </c>
      <c r="R13" s="100"/>
      <c r="S13" s="99"/>
      <c r="T13" s="129"/>
      <c r="U13" s="130"/>
      <c r="V13" s="129"/>
      <c r="W13" s="130"/>
      <c r="X13" s="129"/>
      <c r="Y13" s="130"/>
      <c r="Z13" s="131"/>
      <c r="AA13" s="130"/>
      <c r="AB13" s="132"/>
      <c r="AC13" s="133"/>
      <c r="AD13" s="132"/>
      <c r="AE13" s="133"/>
      <c r="AF13" s="132"/>
      <c r="AG13" s="133"/>
      <c r="AH13" s="132"/>
      <c r="AI13" s="133"/>
      <c r="AJ13" s="132"/>
      <c r="AK13" s="133"/>
      <c r="AL13" s="133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30"/>
      <c r="DK13" s="130"/>
      <c r="DL13" s="130"/>
      <c r="DM13" s="130"/>
      <c r="DN13" s="130"/>
      <c r="DO13" s="130"/>
      <c r="DP13" s="130"/>
      <c r="DQ13" s="130"/>
      <c r="DR13" s="130"/>
      <c r="DS13" s="130"/>
      <c r="DT13" s="130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0"/>
      <c r="EK13" s="130"/>
      <c r="EL13" s="130"/>
      <c r="EM13" s="130"/>
      <c r="EN13" s="130"/>
      <c r="EO13" s="130"/>
      <c r="EP13" s="130"/>
      <c r="EQ13" s="130"/>
      <c r="ER13" s="130"/>
      <c r="ES13" s="130"/>
      <c r="ET13" s="130"/>
      <c r="EU13" s="130"/>
      <c r="EV13" s="130"/>
      <c r="EW13" s="130"/>
      <c r="EX13" s="130"/>
      <c r="EY13" s="130"/>
      <c r="EZ13" s="130"/>
      <c r="FA13" s="130"/>
      <c r="FB13" s="130"/>
      <c r="FC13" s="130"/>
      <c r="FD13" s="130"/>
      <c r="FE13" s="130"/>
      <c r="FF13" s="130"/>
      <c r="FG13" s="130"/>
      <c r="FH13" s="130"/>
      <c r="FI13" s="130"/>
      <c r="FJ13" s="130"/>
      <c r="FK13" s="130"/>
      <c r="FL13" s="130"/>
      <c r="FM13" s="130"/>
      <c r="FN13" s="130"/>
      <c r="FO13" s="130"/>
      <c r="FP13" s="130"/>
      <c r="FQ13" s="130"/>
      <c r="FR13" s="130"/>
      <c r="FS13" s="130"/>
    </row>
    <row r="14" spans="1:40" s="19" customFormat="1" ht="25.5">
      <c r="A14" s="118" t="s">
        <v>52</v>
      </c>
      <c r="B14" s="118" t="s">
        <v>53</v>
      </c>
      <c r="C14" s="118" t="s">
        <v>54</v>
      </c>
      <c r="D14" s="174"/>
      <c r="E14" s="213">
        <v>82</v>
      </c>
      <c r="F14" s="174"/>
      <c r="G14" s="213">
        <v>84.59</v>
      </c>
      <c r="H14" s="174"/>
      <c r="I14" s="213">
        <v>100.78</v>
      </c>
      <c r="J14" s="174"/>
      <c r="K14" s="213">
        <v>95.56</v>
      </c>
      <c r="L14" s="177"/>
      <c r="M14" s="176">
        <v>476.02</v>
      </c>
      <c r="N14" s="174"/>
      <c r="O14" s="213">
        <v>100.24</v>
      </c>
      <c r="P14" s="174"/>
      <c r="Q14" s="213">
        <v>68.44</v>
      </c>
      <c r="R14" s="45"/>
      <c r="S14" s="36"/>
      <c r="T14" s="34"/>
      <c r="U14" s="18"/>
      <c r="V14" s="34"/>
      <c r="W14" s="18">
        <f>SUM(W3:W7:W13)-W12-W4</f>
        <v>7069</v>
      </c>
      <c r="X14" s="34"/>
      <c r="Y14" s="18">
        <f>SUM(Y3:Y7:Y13)-Y12-Y4</f>
        <v>7193</v>
      </c>
      <c r="Z14" s="35"/>
      <c r="AA14" s="18">
        <f>SUM(AA3:AA7:AA13)-AA12-AA4</f>
        <v>6268</v>
      </c>
      <c r="AB14" s="36" t="s">
        <v>3</v>
      </c>
      <c r="AC14" s="18" t="e">
        <f>SUM(AC3:AC7:AC13)-AC12-AC4-1</f>
        <v>#DIV/0!</v>
      </c>
      <c r="AD14" s="36" t="s">
        <v>3</v>
      </c>
      <c r="AE14" s="18" t="e">
        <f>SUM(AE7:AE11)</f>
        <v>#DIV/0!</v>
      </c>
      <c r="AF14" s="36" t="s">
        <v>6</v>
      </c>
      <c r="AG14" s="18" t="e">
        <f>SUM(AG7:AG11)</f>
        <v>#DIV/0!</v>
      </c>
      <c r="AH14" s="36" t="s">
        <v>6</v>
      </c>
      <c r="AI14" s="43" t="e">
        <f>SUM(AI7:AI11)-2</f>
        <v>#DIV/0!</v>
      </c>
      <c r="AJ14" s="37" t="s">
        <v>6</v>
      </c>
      <c r="AK14" s="43" t="e">
        <f>SUM(AK7:AK11)-1</f>
        <v>#DIV/0!</v>
      </c>
      <c r="AL14" s="30" t="s">
        <v>6</v>
      </c>
      <c r="AM14" s="19" t="e">
        <f>236182/AM1</f>
        <v>#DIV/0!</v>
      </c>
      <c r="AN14" s="19" t="e">
        <f>214263/AM1</f>
        <v>#DIV/0!</v>
      </c>
    </row>
    <row r="15" spans="1:38" s="48" customFormat="1" ht="12.75">
      <c r="A15" s="118" t="s">
        <v>55</v>
      </c>
      <c r="B15" s="118" t="s">
        <v>56</v>
      </c>
      <c r="C15" s="118" t="s">
        <v>57</v>
      </c>
      <c r="D15" s="174"/>
      <c r="E15" s="214">
        <v>50.6</v>
      </c>
      <c r="F15" s="174"/>
      <c r="G15" s="214">
        <v>56</v>
      </c>
      <c r="H15" s="174"/>
      <c r="I15" s="214">
        <v>56.94</v>
      </c>
      <c r="J15" s="174"/>
      <c r="K15" s="214">
        <v>52.3</v>
      </c>
      <c r="L15" s="177"/>
      <c r="M15" s="179">
        <v>267.5</v>
      </c>
      <c r="N15" s="174"/>
      <c r="O15" s="214">
        <v>45.6</v>
      </c>
      <c r="P15" s="174"/>
      <c r="Q15" s="214">
        <v>40</v>
      </c>
      <c r="R15" s="45"/>
      <c r="T15" s="45"/>
      <c r="U15" s="36"/>
      <c r="V15" s="45"/>
      <c r="W15" s="36">
        <v>289.33</v>
      </c>
      <c r="X15" s="45"/>
      <c r="Y15" s="36">
        <v>256.53</v>
      </c>
      <c r="Z15" s="35"/>
      <c r="AA15" s="36">
        <v>256.53</v>
      </c>
      <c r="AB15" s="36" t="s">
        <v>3</v>
      </c>
      <c r="AC15" s="36">
        <v>239.64</v>
      </c>
      <c r="AD15" s="36" t="s">
        <v>3</v>
      </c>
      <c r="AE15" s="36">
        <v>217.47</v>
      </c>
      <c r="AF15" s="47"/>
      <c r="AG15" s="36">
        <v>238.97</v>
      </c>
      <c r="AH15" s="36" t="s">
        <v>6</v>
      </c>
      <c r="AI15" s="47">
        <v>206.87</v>
      </c>
      <c r="AJ15" s="37" t="s">
        <v>6</v>
      </c>
      <c r="AK15" s="47">
        <v>178.36</v>
      </c>
      <c r="AL15" s="37" t="s">
        <v>6</v>
      </c>
    </row>
    <row r="16" spans="1:38" s="48" customFormat="1" ht="12.75">
      <c r="A16" s="122" t="s">
        <v>34</v>
      </c>
      <c r="B16" s="122" t="s">
        <v>35</v>
      </c>
      <c r="C16" s="122" t="s">
        <v>36</v>
      </c>
      <c r="D16" s="180"/>
      <c r="E16" s="215">
        <v>0.383</v>
      </c>
      <c r="F16" s="180"/>
      <c r="G16" s="215">
        <v>0.338</v>
      </c>
      <c r="H16" s="180"/>
      <c r="I16" s="215">
        <v>0.435</v>
      </c>
      <c r="J16" s="180"/>
      <c r="K16" s="215">
        <v>0.453</v>
      </c>
      <c r="L16" s="183"/>
      <c r="M16" s="182">
        <v>0.438</v>
      </c>
      <c r="N16" s="180"/>
      <c r="O16" s="215">
        <v>0.545</v>
      </c>
      <c r="P16" s="180"/>
      <c r="Q16" s="215">
        <v>0.416</v>
      </c>
      <c r="R16" s="50"/>
      <c r="S16" s="51"/>
      <c r="T16" s="45"/>
      <c r="V16" s="45"/>
      <c r="W16" s="48">
        <v>186.9</v>
      </c>
      <c r="X16" s="45"/>
      <c r="Y16" s="48">
        <v>163.9</v>
      </c>
      <c r="Z16" s="35"/>
      <c r="AA16" s="48">
        <v>167.5</v>
      </c>
      <c r="AB16" s="46" t="s">
        <v>3</v>
      </c>
      <c r="AC16" s="46">
        <v>173.53</v>
      </c>
      <c r="AD16" s="46" t="s">
        <v>3</v>
      </c>
      <c r="AE16" s="46">
        <v>160.64</v>
      </c>
      <c r="AF16" s="36" t="s">
        <v>6</v>
      </c>
      <c r="AG16" s="36">
        <v>186.17</v>
      </c>
      <c r="AH16" s="36" t="s">
        <v>6</v>
      </c>
      <c r="AI16" s="36">
        <v>160.64</v>
      </c>
      <c r="AJ16" s="37" t="s">
        <v>6</v>
      </c>
      <c r="AK16" s="36">
        <v>132.87</v>
      </c>
      <c r="AL16" s="44" t="s">
        <v>6</v>
      </c>
    </row>
    <row r="17" spans="1:38" s="51" customFormat="1" ht="12.75">
      <c r="A17" s="126" t="s">
        <v>58</v>
      </c>
      <c r="B17" s="126" t="s">
        <v>59</v>
      </c>
      <c r="C17" s="126" t="s">
        <v>60</v>
      </c>
      <c r="D17" s="171"/>
      <c r="E17" s="212">
        <v>122160125</v>
      </c>
      <c r="F17" s="171"/>
      <c r="G17" s="212">
        <v>122160125</v>
      </c>
      <c r="H17" s="171"/>
      <c r="I17" s="212">
        <v>122160125</v>
      </c>
      <c r="J17" s="171"/>
      <c r="K17" s="212">
        <v>122160125</v>
      </c>
      <c r="L17" s="184"/>
      <c r="M17" s="173">
        <v>24432025</v>
      </c>
      <c r="N17" s="171"/>
      <c r="O17" s="212">
        <v>122160125</v>
      </c>
      <c r="P17" s="171"/>
      <c r="Q17" s="212">
        <v>122160125</v>
      </c>
      <c r="R17" s="14"/>
      <c r="S17" s="18"/>
      <c r="T17" s="50"/>
      <c r="V17" s="50"/>
      <c r="W17" s="51">
        <v>0.354</v>
      </c>
      <c r="X17" s="50"/>
      <c r="Y17" s="51">
        <v>0.443</v>
      </c>
      <c r="Z17" s="52"/>
      <c r="AA17" s="51">
        <v>0.347</v>
      </c>
      <c r="AB17" s="53" t="s">
        <v>3</v>
      </c>
      <c r="AC17" s="53">
        <v>0.276</v>
      </c>
      <c r="AD17" s="53" t="s">
        <v>3</v>
      </c>
      <c r="AE17" s="53">
        <v>0.26</v>
      </c>
      <c r="AF17" s="53" t="s">
        <v>6</v>
      </c>
      <c r="AG17" s="53">
        <v>0.221</v>
      </c>
      <c r="AH17" s="53" t="s">
        <v>6</v>
      </c>
      <c r="AI17" s="53">
        <v>0.224</v>
      </c>
      <c r="AJ17" s="49" t="s">
        <v>6</v>
      </c>
      <c r="AK17" s="53">
        <v>0.255</v>
      </c>
      <c r="AL17" s="49" t="s">
        <v>6</v>
      </c>
    </row>
    <row r="18" spans="1:19" ht="38.25">
      <c r="A18" s="96" t="s">
        <v>61</v>
      </c>
      <c r="B18" s="96" t="s">
        <v>74</v>
      </c>
      <c r="C18" s="57" t="s">
        <v>62</v>
      </c>
      <c r="D18" s="188"/>
      <c r="E18" s="202"/>
      <c r="F18" s="189"/>
      <c r="G18" s="202"/>
      <c r="H18" s="189"/>
      <c r="I18" s="202"/>
      <c r="J18" s="189"/>
      <c r="K18" s="202"/>
      <c r="L18" s="76"/>
      <c r="M18" s="75"/>
      <c r="N18" s="188"/>
      <c r="O18" s="202"/>
      <c r="P18" s="189"/>
      <c r="Q18" s="202"/>
      <c r="R18" s="59"/>
      <c r="S18" s="57"/>
    </row>
    <row r="19" spans="1:33" s="19" customFormat="1" ht="12.75" customHeight="1">
      <c r="A19" s="300"/>
      <c r="B19" s="300"/>
      <c r="C19" s="300"/>
      <c r="D19" s="190"/>
      <c r="E19" s="203"/>
      <c r="F19" s="191"/>
      <c r="G19" s="203"/>
      <c r="H19" s="191"/>
      <c r="I19" s="203"/>
      <c r="J19" s="191"/>
      <c r="K19" s="203"/>
      <c r="L19" s="74"/>
      <c r="M19" s="72"/>
      <c r="N19" s="190"/>
      <c r="O19" s="203"/>
      <c r="P19" s="191"/>
      <c r="Q19" s="203"/>
      <c r="R19" s="16"/>
      <c r="S19"/>
      <c r="T19" s="57"/>
      <c r="W19" s="36"/>
      <c r="X19" s="30"/>
      <c r="Y19" s="36"/>
      <c r="Z19" s="33"/>
      <c r="AA19" s="33"/>
      <c r="AB19" s="33"/>
      <c r="AC19" s="33"/>
      <c r="AD19" s="33"/>
      <c r="AE19" s="33"/>
      <c r="AF19" s="33"/>
      <c r="AG19" s="30"/>
    </row>
    <row r="20" spans="1:30" ht="12.75">
      <c r="A20" s="300"/>
      <c r="B20" s="300"/>
      <c r="C20" s="300"/>
      <c r="D20" s="190"/>
      <c r="L20" s="74"/>
      <c r="N20" s="190"/>
      <c r="R20" s="16"/>
      <c r="X20" s="55"/>
      <c r="AB20" s="56"/>
      <c r="AD20"/>
    </row>
  </sheetData>
  <sheetProtection/>
  <mergeCells count="2">
    <mergeCell ref="A19:C19"/>
    <mergeCell ref="A20:C20"/>
  </mergeCells>
  <printOptions/>
  <pageMargins left="0.787401575" right="0.787401575" top="0.984251969" bottom="0.984251969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S22"/>
  <sheetViews>
    <sheetView showGridLines="0" zoomScalePageLayoutView="0" workbookViewId="0" topLeftCell="A1">
      <selection activeCell="A43" sqref="A43"/>
    </sheetView>
  </sheetViews>
  <sheetFormatPr defaultColWidth="11.421875" defaultRowHeight="12.75"/>
  <cols>
    <col min="1" max="1" width="38.140625" style="0" customWidth="1"/>
    <col min="2" max="2" width="38.7109375" style="0" customWidth="1"/>
    <col min="3" max="3" width="35.7109375" style="0" customWidth="1"/>
    <col min="4" max="4" width="11.57421875" style="191" customWidth="1"/>
    <col min="5" max="5" width="12.421875" style="203" customWidth="1"/>
    <col min="6" max="6" width="10.7109375" style="191" customWidth="1"/>
    <col min="7" max="7" width="11.421875" style="203" customWidth="1"/>
    <col min="8" max="8" width="11.421875" style="191" customWidth="1"/>
    <col min="9" max="9" width="12.7109375" style="203" customWidth="1"/>
    <col min="10" max="10" width="11.421875" style="191" customWidth="1"/>
    <col min="11" max="11" width="12.421875" style="203" customWidth="1"/>
    <col min="12" max="12" width="9.140625" style="73" hidden="1" customWidth="1"/>
    <col min="13" max="13" width="9.140625" style="72" hidden="1" customWidth="1"/>
    <col min="14" max="14" width="11.421875" style="191" customWidth="1"/>
    <col min="15" max="15" width="13.00390625" style="203" customWidth="1"/>
    <col min="16" max="16" width="11.421875" style="191" customWidth="1"/>
    <col min="17" max="17" width="12.421875" style="203" customWidth="1"/>
    <col min="18" max="18" width="11.421875" style="54" customWidth="1"/>
    <col min="19" max="19" width="12.28125" style="0" customWidth="1"/>
    <col min="20" max="20" width="11.421875" style="54" customWidth="1"/>
    <col min="21" max="21" width="11.421875" style="0" customWidth="1"/>
    <col min="22" max="22" width="9.140625" style="54" hidden="1" customWidth="1"/>
    <col min="23" max="23" width="9.140625" style="0" hidden="1" customWidth="1"/>
    <col min="24" max="24" width="9.140625" style="54" hidden="1" customWidth="1"/>
    <col min="25" max="25" width="9.140625" style="0" hidden="1" customWidth="1"/>
    <col min="26" max="26" width="11.57421875" style="55" hidden="1" customWidth="1"/>
    <col min="27" max="27" width="9.140625" style="0" hidden="1" customWidth="1"/>
    <col min="28" max="28" width="9.140625" style="55" hidden="1" customWidth="1"/>
    <col min="29" max="29" width="9.140625" style="0" hidden="1" customWidth="1"/>
    <col min="30" max="30" width="11.57421875" style="56" hidden="1" customWidth="1"/>
    <col min="31" max="33" width="9.140625" style="0" hidden="1" customWidth="1"/>
    <col min="34" max="37" width="11.421875" style="0" hidden="1" customWidth="1"/>
    <col min="38" max="38" width="11.421875" style="0" customWidth="1"/>
    <col min="39" max="40" width="9.140625" style="0" hidden="1" customWidth="1"/>
  </cols>
  <sheetData>
    <row r="1" spans="1:37" s="95" customFormat="1" ht="12.75">
      <c r="A1" s="79" t="s">
        <v>39</v>
      </c>
      <c r="B1" s="79" t="s">
        <v>40</v>
      </c>
      <c r="C1" s="79" t="s">
        <v>41</v>
      </c>
      <c r="D1" s="144"/>
      <c r="E1" s="192">
        <v>37256</v>
      </c>
      <c r="F1" s="146"/>
      <c r="G1" s="204">
        <v>37148</v>
      </c>
      <c r="H1" s="146"/>
      <c r="I1" s="204">
        <v>37099</v>
      </c>
      <c r="J1" s="146"/>
      <c r="K1" s="204">
        <v>37072</v>
      </c>
      <c r="L1" s="148"/>
      <c r="M1" s="147">
        <v>36651</v>
      </c>
      <c r="N1" s="146"/>
      <c r="O1" s="204">
        <v>36962</v>
      </c>
      <c r="P1" s="146"/>
      <c r="Q1" s="204">
        <v>36891</v>
      </c>
      <c r="R1" s="91"/>
      <c r="S1" s="81"/>
      <c r="T1" s="92"/>
      <c r="U1" s="81"/>
      <c r="V1" s="92"/>
      <c r="W1" s="81">
        <v>36341</v>
      </c>
      <c r="X1" s="81"/>
      <c r="Y1" s="81">
        <v>36231</v>
      </c>
      <c r="Z1" s="81"/>
      <c r="AA1" s="81">
        <v>36160</v>
      </c>
      <c r="AB1" s="83"/>
      <c r="AC1" s="81">
        <v>36052</v>
      </c>
      <c r="AD1" s="93" t="s">
        <v>3</v>
      </c>
      <c r="AE1" s="85">
        <v>35976</v>
      </c>
      <c r="AF1" s="93" t="s">
        <v>3</v>
      </c>
      <c r="AG1" s="85">
        <v>35884</v>
      </c>
      <c r="AH1" s="94" t="s">
        <v>3</v>
      </c>
      <c r="AI1" s="85">
        <v>35795</v>
      </c>
      <c r="AK1" s="95">
        <v>40.3399</v>
      </c>
    </row>
    <row r="2" spans="1:37" s="11" customFormat="1" ht="12.75">
      <c r="A2" s="3" t="s">
        <v>65</v>
      </c>
      <c r="B2" s="3" t="str">
        <f>A2</f>
        <v>Bertelsmann (1)</v>
      </c>
      <c r="C2" s="3" t="str">
        <f>A2</f>
        <v>Bertelsmann (1)</v>
      </c>
      <c r="D2" s="149" t="s">
        <v>4</v>
      </c>
      <c r="E2" s="193">
        <v>2276</v>
      </c>
      <c r="F2" s="149" t="s">
        <v>4</v>
      </c>
      <c r="G2" s="205">
        <v>3607</v>
      </c>
      <c r="H2" s="149" t="s">
        <v>4</v>
      </c>
      <c r="I2" s="205">
        <v>3607</v>
      </c>
      <c r="J2" s="152"/>
      <c r="K2" s="194" t="s">
        <v>4</v>
      </c>
      <c r="L2" s="154"/>
      <c r="M2" s="151"/>
      <c r="N2" s="152"/>
      <c r="O2" s="194" t="s">
        <v>4</v>
      </c>
      <c r="P2" s="152"/>
      <c r="Q2" s="194" t="s">
        <v>4</v>
      </c>
      <c r="R2" s="64"/>
      <c r="S2" s="13"/>
      <c r="T2" s="5"/>
      <c r="U2" s="6"/>
      <c r="V2" s="5"/>
      <c r="W2" s="6"/>
      <c r="X2" s="5"/>
      <c r="Y2" s="6"/>
      <c r="Z2" s="6"/>
      <c r="AA2" s="6"/>
      <c r="AB2" s="6"/>
      <c r="AC2" s="6"/>
      <c r="AD2" s="7"/>
      <c r="AE2" s="6"/>
      <c r="AF2" s="8"/>
      <c r="AG2" s="9"/>
      <c r="AH2" s="8"/>
      <c r="AI2" s="9"/>
      <c r="AJ2" s="10"/>
      <c r="AK2" s="9"/>
    </row>
    <row r="3" spans="1:38" s="19" customFormat="1" ht="12.75">
      <c r="A3" s="12" t="s">
        <v>5</v>
      </c>
      <c r="B3" s="30" t="str">
        <f>A3</f>
        <v>RTL Group</v>
      </c>
      <c r="C3" s="30" t="str">
        <f>A3</f>
        <v>RTL Group</v>
      </c>
      <c r="D3" s="149" t="s">
        <v>4</v>
      </c>
      <c r="E3" s="194" t="s">
        <v>4</v>
      </c>
      <c r="F3" s="149" t="s">
        <v>4</v>
      </c>
      <c r="G3" s="206" t="s">
        <v>4</v>
      </c>
      <c r="H3" s="149" t="s">
        <v>4</v>
      </c>
      <c r="I3" s="194" t="s">
        <v>4</v>
      </c>
      <c r="J3" s="155">
        <v>71.85</v>
      </c>
      <c r="K3" s="208">
        <v>3323</v>
      </c>
      <c r="L3" s="157">
        <v>134</v>
      </c>
      <c r="M3" s="156">
        <v>5365</v>
      </c>
      <c r="N3" s="155">
        <v>82</v>
      </c>
      <c r="O3" s="208">
        <v>3345</v>
      </c>
      <c r="P3" s="155">
        <v>87.5</v>
      </c>
      <c r="Q3" s="208">
        <v>3552</v>
      </c>
      <c r="R3" s="14"/>
      <c r="S3" s="15"/>
      <c r="T3" s="14"/>
      <c r="U3" s="15"/>
      <c r="V3" s="14">
        <v>48.35</v>
      </c>
      <c r="W3" s="15">
        <v>1302</v>
      </c>
      <c r="X3" s="14">
        <v>46.55</v>
      </c>
      <c r="Y3" s="15">
        <v>1242</v>
      </c>
      <c r="Z3" s="16">
        <v>37.45</v>
      </c>
      <c r="AA3" s="15">
        <v>991</v>
      </c>
      <c r="AB3" s="17" t="e">
        <f>1550/AM1</f>
        <v>#DIV/0!</v>
      </c>
      <c r="AC3" s="18" t="e">
        <f>40072/AM1</f>
        <v>#DIV/0!</v>
      </c>
      <c r="AD3" s="17" t="e">
        <f>1498/AM1</f>
        <v>#DIV/0!</v>
      </c>
      <c r="AE3" s="18" t="e">
        <f>38499/AM1</f>
        <v>#DIV/0!</v>
      </c>
      <c r="AF3" s="17" t="e">
        <f>1520/AM1</f>
        <v>#DIV/0!</v>
      </c>
      <c r="AG3" s="18" t="e">
        <f>38837/AM1</f>
        <v>#DIV/0!</v>
      </c>
      <c r="AH3" s="17" t="e">
        <f>1510/AM1</f>
        <v>#DIV/0!</v>
      </c>
      <c r="AI3" s="18" t="e">
        <f>26966/AM1</f>
        <v>#DIV/0!</v>
      </c>
      <c r="AJ3" s="4" t="e">
        <f>1510/AM1</f>
        <v>#DIV/0!</v>
      </c>
      <c r="AK3" s="18" t="e">
        <f>25184/AM1</f>
        <v>#DIV/0!</v>
      </c>
      <c r="AL3" s="12" t="s">
        <v>6</v>
      </c>
    </row>
    <row r="4" spans="1:175" s="29" customFormat="1" ht="14.25" customHeight="1">
      <c r="A4" s="20" t="s">
        <v>7</v>
      </c>
      <c r="B4" s="20" t="s">
        <v>8</v>
      </c>
      <c r="C4" s="20" t="s">
        <v>9</v>
      </c>
      <c r="D4" s="149"/>
      <c r="E4" s="195" t="s">
        <v>4</v>
      </c>
      <c r="F4" s="158"/>
      <c r="G4" s="206" t="s">
        <v>4</v>
      </c>
      <c r="H4" s="158"/>
      <c r="I4" s="194" t="s">
        <v>4</v>
      </c>
      <c r="J4" s="159"/>
      <c r="K4" s="216">
        <v>316</v>
      </c>
      <c r="L4" s="161"/>
      <c r="M4" s="162">
        <v>626</v>
      </c>
      <c r="N4" s="158"/>
      <c r="O4" s="207">
        <v>360</v>
      </c>
      <c r="P4" s="159"/>
      <c r="Q4" s="216">
        <v>384</v>
      </c>
      <c r="R4" s="24"/>
      <c r="S4" s="25"/>
      <c r="T4" s="24"/>
      <c r="U4" s="25"/>
      <c r="V4" s="24"/>
      <c r="W4" s="25"/>
      <c r="X4" s="24"/>
      <c r="Y4" s="25"/>
      <c r="Z4" s="26"/>
      <c r="AA4" s="25"/>
      <c r="AB4" s="27"/>
      <c r="AC4" s="28"/>
      <c r="AD4" s="27"/>
      <c r="AE4" s="28"/>
      <c r="AF4" s="27"/>
      <c r="AG4" s="28"/>
      <c r="AH4" s="27"/>
      <c r="AI4" s="28"/>
      <c r="AJ4" s="27"/>
      <c r="AK4" s="28"/>
      <c r="AL4" s="28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</row>
    <row r="5" spans="1:175" s="29" customFormat="1" ht="25.5" customHeight="1">
      <c r="A5" s="20" t="s">
        <v>10</v>
      </c>
      <c r="B5" s="20" t="s">
        <v>11</v>
      </c>
      <c r="C5" s="20" t="s">
        <v>12</v>
      </c>
      <c r="D5" s="149"/>
      <c r="E5" s="195"/>
      <c r="F5" s="158"/>
      <c r="G5" s="207"/>
      <c r="H5" s="158"/>
      <c r="I5" s="207"/>
      <c r="J5" s="159"/>
      <c r="K5" s="216"/>
      <c r="L5" s="161"/>
      <c r="M5" s="162"/>
      <c r="N5" s="158"/>
      <c r="O5" s="207"/>
      <c r="P5" s="159"/>
      <c r="Q5" s="216"/>
      <c r="R5" s="24"/>
      <c r="S5" s="25"/>
      <c r="T5" s="24"/>
      <c r="U5" s="25"/>
      <c r="V5" s="24"/>
      <c r="W5" s="25"/>
      <c r="X5" s="24"/>
      <c r="Y5" s="25"/>
      <c r="Z5" s="26"/>
      <c r="AA5" s="25"/>
      <c r="AB5" s="27"/>
      <c r="AC5" s="28"/>
      <c r="AD5" s="27"/>
      <c r="AE5" s="28"/>
      <c r="AF5" s="27"/>
      <c r="AG5" s="28"/>
      <c r="AH5" s="27"/>
      <c r="AI5" s="28"/>
      <c r="AJ5" s="27"/>
      <c r="AK5" s="28"/>
      <c r="AL5" s="28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</row>
    <row r="6" spans="1:38" s="19" customFormat="1" ht="12.75">
      <c r="A6" s="30" t="s">
        <v>13</v>
      </c>
      <c r="B6" s="30" t="str">
        <f>A6</f>
        <v>TotalFinaElf</v>
      </c>
      <c r="C6" s="30" t="str">
        <f>B6</f>
        <v>TotalFinaElf</v>
      </c>
      <c r="D6" s="155">
        <v>160.4</v>
      </c>
      <c r="E6" s="196">
        <v>3767</v>
      </c>
      <c r="F6" s="155">
        <v>148.2</v>
      </c>
      <c r="G6" s="208">
        <v>3480</v>
      </c>
      <c r="H6" s="155">
        <v>159.5</v>
      </c>
      <c r="I6" s="208">
        <v>3746</v>
      </c>
      <c r="J6" s="155">
        <v>165.4</v>
      </c>
      <c r="K6" s="208">
        <v>3884</v>
      </c>
      <c r="L6" s="157">
        <v>161.5</v>
      </c>
      <c r="M6" s="156">
        <v>3177</v>
      </c>
      <c r="N6" s="155">
        <v>150.6</v>
      </c>
      <c r="O6" s="208">
        <v>2929</v>
      </c>
      <c r="P6" s="155">
        <v>158.4</v>
      </c>
      <c r="Q6" s="208">
        <v>3080</v>
      </c>
      <c r="R6" s="14"/>
      <c r="S6" s="15"/>
      <c r="T6" s="14"/>
      <c r="U6" s="15"/>
      <c r="V6" s="14">
        <v>120.9</v>
      </c>
      <c r="W6" s="15">
        <v>2351</v>
      </c>
      <c r="X6" s="14">
        <v>125.1</v>
      </c>
      <c r="Y6" s="15">
        <v>2399</v>
      </c>
      <c r="Z6" s="32">
        <f>460.3/4.5</f>
        <v>102.28888888888889</v>
      </c>
      <c r="AA6" s="15">
        <v>1921</v>
      </c>
      <c r="AB6" s="17">
        <v>86.76</v>
      </c>
      <c r="AC6" s="18">
        <v>1590</v>
      </c>
      <c r="AD6" s="17" t="e">
        <f>12875/(#REF!*4.5)</f>
        <v>#REF!</v>
      </c>
      <c r="AE6" s="18" t="e">
        <f>52109/#REF!</f>
        <v>#REF!</v>
      </c>
      <c r="AF6" s="17" t="e">
        <f>15275/(#REF!*4.5)</f>
        <v>#REF!</v>
      </c>
      <c r="AG6" s="18" t="e">
        <f>61445/#REF!</f>
        <v>#REF!</v>
      </c>
      <c r="AH6" s="17" t="e">
        <f>13950/#REF!</f>
        <v>#REF!</v>
      </c>
      <c r="AI6" s="18" t="e">
        <f>38455/#REF!</f>
        <v>#REF!</v>
      </c>
      <c r="AJ6" s="4" t="e">
        <f>13675/#REF!</f>
        <v>#REF!</v>
      </c>
      <c r="AK6" s="18" t="e">
        <f>35072/#REF!</f>
        <v>#REF!</v>
      </c>
      <c r="AL6" s="30" t="s">
        <v>6</v>
      </c>
    </row>
    <row r="7" spans="1:38" s="19" customFormat="1" ht="12.75">
      <c r="A7" s="30" t="s">
        <v>66</v>
      </c>
      <c r="B7" s="30" t="str">
        <f>A7</f>
        <v>Suez  (2)</v>
      </c>
      <c r="C7" s="30" t="str">
        <f>A7</f>
        <v>Suez  (2)</v>
      </c>
      <c r="D7" s="155">
        <v>34</v>
      </c>
      <c r="E7" s="196">
        <v>2464</v>
      </c>
      <c r="F7" s="155">
        <v>34.1</v>
      </c>
      <c r="G7" s="209">
        <v>2493</v>
      </c>
      <c r="H7" s="155">
        <v>37.65</v>
      </c>
      <c r="I7" s="209">
        <v>2753</v>
      </c>
      <c r="J7" s="155">
        <v>38</v>
      </c>
      <c r="K7" s="209">
        <v>2778</v>
      </c>
      <c r="L7" s="157">
        <v>180</v>
      </c>
      <c r="M7" s="164">
        <v>2433</v>
      </c>
      <c r="N7" s="155">
        <f>162.4/5</f>
        <v>32.480000000000004</v>
      </c>
      <c r="O7" s="209">
        <v>1967</v>
      </c>
      <c r="P7" s="155">
        <f>194.5/5</f>
        <v>38.9</v>
      </c>
      <c r="Q7" s="209">
        <v>2355</v>
      </c>
      <c r="R7" s="14"/>
      <c r="S7" s="18"/>
      <c r="T7" s="14"/>
      <c r="U7" s="18"/>
      <c r="V7" s="14">
        <v>159.9</v>
      </c>
      <c r="W7" s="18">
        <v>2134</v>
      </c>
      <c r="X7" s="14">
        <v>174.9</v>
      </c>
      <c r="Y7" s="18">
        <v>2278</v>
      </c>
      <c r="Z7" s="17">
        <v>173.2</v>
      </c>
      <c r="AA7" s="18">
        <v>2197</v>
      </c>
      <c r="AB7" s="17" t="e">
        <f>1148/AN1</f>
        <v>#DIV/0!</v>
      </c>
      <c r="AC7" s="18" t="e">
        <f>85728/AM1</f>
        <v>#DIV/0!</v>
      </c>
      <c r="AD7" s="17" t="e">
        <f>1029/AN1</f>
        <v>#DIV/0!</v>
      </c>
      <c r="AE7" s="18" t="e">
        <f>76396/AM1</f>
        <v>#DIV/0!</v>
      </c>
      <c r="AF7" s="17" t="e">
        <f>995/AN1</f>
        <v>#DIV/0!</v>
      </c>
      <c r="AG7" s="18" t="e">
        <f>73440/AM1</f>
        <v>#DIV/0!</v>
      </c>
      <c r="AH7" s="17" t="e">
        <f>889/AN1</f>
        <v>#DIV/0!</v>
      </c>
      <c r="AI7" s="18" t="e">
        <f>41140/AM1</f>
        <v>#DIV/0!</v>
      </c>
      <c r="AJ7" s="4" t="e">
        <f>666/AN1</f>
        <v>#DIV/0!</v>
      </c>
      <c r="AK7" s="18" t="e">
        <f>28071/AM1</f>
        <v>#DIV/0!</v>
      </c>
      <c r="AL7" s="30" t="s">
        <v>6</v>
      </c>
    </row>
    <row r="8" spans="1:38" s="19" customFormat="1" ht="12.75">
      <c r="A8" s="30" t="s">
        <v>14</v>
      </c>
      <c r="B8" s="30" t="str">
        <f>A8</f>
        <v>Imerys</v>
      </c>
      <c r="C8" s="30" t="str">
        <f>B8</f>
        <v>Imerys</v>
      </c>
      <c r="D8" s="155">
        <v>107.8</v>
      </c>
      <c r="E8" s="196">
        <v>451</v>
      </c>
      <c r="F8" s="155">
        <v>86.1</v>
      </c>
      <c r="G8" s="208">
        <v>360</v>
      </c>
      <c r="H8" s="155">
        <v>119.4</v>
      </c>
      <c r="I8" s="208">
        <v>500</v>
      </c>
      <c r="J8" s="155">
        <v>117</v>
      </c>
      <c r="K8" s="208">
        <v>490</v>
      </c>
      <c r="L8" s="157">
        <v>130.9</v>
      </c>
      <c r="M8" s="156">
        <v>548</v>
      </c>
      <c r="N8" s="155">
        <v>121</v>
      </c>
      <c r="O8" s="208">
        <v>507</v>
      </c>
      <c r="P8" s="155">
        <v>121</v>
      </c>
      <c r="Q8" s="208">
        <v>507</v>
      </c>
      <c r="R8" s="14"/>
      <c r="S8" s="15"/>
      <c r="T8" s="14"/>
      <c r="U8" s="15"/>
      <c r="V8" s="14">
        <v>149.1</v>
      </c>
      <c r="W8" s="15">
        <v>624</v>
      </c>
      <c r="X8" s="14">
        <v>144</v>
      </c>
      <c r="Y8" s="15">
        <v>603</v>
      </c>
      <c r="Z8" s="16">
        <v>99.6</v>
      </c>
      <c r="AA8" s="15">
        <v>417</v>
      </c>
      <c r="AB8" s="17" t="e">
        <f>560/AN1</f>
        <v>#DIV/0!</v>
      </c>
      <c r="AC8" s="18" t="e">
        <f>14416/AM1</f>
        <v>#DIV/0!</v>
      </c>
      <c r="AD8" s="17" t="e">
        <f>563/AN1</f>
        <v>#DIV/0!</v>
      </c>
      <c r="AE8" s="18" t="e">
        <f>14484/AM1</f>
        <v>#DIV/0!</v>
      </c>
      <c r="AF8" s="17" t="e">
        <f>831/AN1</f>
        <v>#DIV/0!</v>
      </c>
      <c r="AG8" s="18" t="e">
        <f>19136/AM1</f>
        <v>#DIV/0!</v>
      </c>
      <c r="AH8" s="17" t="e">
        <f>818/AN1</f>
        <v>#DIV/0!</v>
      </c>
      <c r="AI8" s="18" t="e">
        <f>16662/AM1</f>
        <v>#DIV/0!</v>
      </c>
      <c r="AJ8" s="4" t="e">
        <f>748/AN1</f>
        <v>#DIV/0!</v>
      </c>
      <c r="AK8" s="18" t="e">
        <f>15243/AM1</f>
        <v>#DIV/0!</v>
      </c>
      <c r="AL8" s="30" t="s">
        <v>6</v>
      </c>
    </row>
    <row r="9" spans="1:38" s="19" customFormat="1" ht="12.75">
      <c r="A9" s="30" t="s">
        <v>15</v>
      </c>
      <c r="B9" s="30" t="str">
        <f>A9</f>
        <v>Rhodia</v>
      </c>
      <c r="C9" s="30" t="str">
        <f>A9</f>
        <v>Rhodia</v>
      </c>
      <c r="D9" s="155">
        <v>8.98</v>
      </c>
      <c r="E9" s="196">
        <v>86</v>
      </c>
      <c r="F9" s="155">
        <v>8.45</v>
      </c>
      <c r="G9" s="210">
        <v>81</v>
      </c>
      <c r="H9" s="155">
        <v>12.17</v>
      </c>
      <c r="I9" s="210">
        <v>139</v>
      </c>
      <c r="J9" s="155">
        <v>13</v>
      </c>
      <c r="K9" s="210">
        <v>148</v>
      </c>
      <c r="L9" s="157">
        <v>20.55</v>
      </c>
      <c r="M9" s="165">
        <v>184</v>
      </c>
      <c r="N9" s="155">
        <v>15.4</v>
      </c>
      <c r="O9" s="210">
        <v>171</v>
      </c>
      <c r="P9" s="155">
        <v>16.5</v>
      </c>
      <c r="Q9" s="210">
        <v>181</v>
      </c>
      <c r="R9" s="14"/>
      <c r="S9" s="33"/>
      <c r="T9" s="14"/>
      <c r="U9" s="33"/>
      <c r="V9" s="33"/>
      <c r="W9" s="33" t="s">
        <v>16</v>
      </c>
      <c r="X9" s="34"/>
      <c r="Y9" s="33" t="s">
        <v>16</v>
      </c>
      <c r="Z9" s="35"/>
      <c r="AA9" s="33" t="s">
        <v>16</v>
      </c>
      <c r="AB9" s="36"/>
      <c r="AC9" s="33" t="s">
        <v>16</v>
      </c>
      <c r="AD9" s="36"/>
      <c r="AE9" s="33"/>
      <c r="AF9" s="36"/>
      <c r="AG9" s="33"/>
      <c r="AH9" s="36"/>
      <c r="AI9" s="18"/>
      <c r="AJ9" s="37"/>
      <c r="AK9" s="18"/>
      <c r="AL9" s="30"/>
    </row>
    <row r="10" spans="1:38" s="19" customFormat="1" ht="12.75">
      <c r="A10" s="30" t="s">
        <v>17</v>
      </c>
      <c r="B10" s="30" t="s">
        <v>63</v>
      </c>
      <c r="C10" s="30" t="s">
        <v>19</v>
      </c>
      <c r="D10" s="155"/>
      <c r="E10" s="196">
        <v>26</v>
      </c>
      <c r="F10" s="155"/>
      <c r="G10" s="208">
        <v>42</v>
      </c>
      <c r="H10" s="155"/>
      <c r="I10" s="208">
        <v>43</v>
      </c>
      <c r="J10" s="155"/>
      <c r="K10" s="208">
        <v>43</v>
      </c>
      <c r="L10" s="166"/>
      <c r="M10" s="156">
        <v>245</v>
      </c>
      <c r="N10" s="155"/>
      <c r="O10" s="208">
        <v>30</v>
      </c>
      <c r="P10" s="155"/>
      <c r="Q10" s="208">
        <v>296</v>
      </c>
      <c r="R10" s="14"/>
      <c r="S10" s="15"/>
      <c r="T10" s="34"/>
      <c r="U10" s="15"/>
      <c r="V10" s="34"/>
      <c r="W10" s="15">
        <v>266</v>
      </c>
      <c r="X10" s="34"/>
      <c r="Y10" s="15">
        <v>257</v>
      </c>
      <c r="Z10" s="35"/>
      <c r="AA10" s="15">
        <f>25+190</f>
        <v>215</v>
      </c>
      <c r="AB10" s="36" t="s">
        <v>3</v>
      </c>
      <c r="AC10" s="18" t="e">
        <f>7517/AM1+1</f>
        <v>#DIV/0!</v>
      </c>
      <c r="AD10" s="36" t="s">
        <v>3</v>
      </c>
      <c r="AE10" s="18" t="e">
        <f>10221/AM1</f>
        <v>#DIV/0!</v>
      </c>
      <c r="AF10" s="36" t="s">
        <v>6</v>
      </c>
      <c r="AG10" s="18" t="e">
        <f>13264/AM1</f>
        <v>#DIV/0!</v>
      </c>
      <c r="AH10" s="36" t="s">
        <v>6</v>
      </c>
      <c r="AI10" s="18" t="e">
        <f>15670/AM1+1</f>
        <v>#DIV/0!</v>
      </c>
      <c r="AJ10" s="37" t="s">
        <v>6</v>
      </c>
      <c r="AK10" s="18" t="e">
        <f>22978/AM1</f>
        <v>#DIV/0!</v>
      </c>
      <c r="AL10" s="30" t="s">
        <v>6</v>
      </c>
    </row>
    <row r="11" spans="1:38" s="40" customFormat="1" ht="12.75">
      <c r="A11" s="38" t="s">
        <v>20</v>
      </c>
      <c r="B11" s="38" t="s">
        <v>21</v>
      </c>
      <c r="C11" s="38" t="s">
        <v>22</v>
      </c>
      <c r="D11" s="155"/>
      <c r="E11" s="196">
        <v>303</v>
      </c>
      <c r="F11" s="155"/>
      <c r="G11" s="211">
        <v>279</v>
      </c>
      <c r="H11" s="155"/>
      <c r="I11" s="211">
        <v>224</v>
      </c>
      <c r="J11" s="155"/>
      <c r="K11" s="211">
        <v>188</v>
      </c>
      <c r="L11" s="168"/>
      <c r="M11" s="167">
        <v>-322</v>
      </c>
      <c r="N11" s="155"/>
      <c r="O11" s="211">
        <v>334</v>
      </c>
      <c r="P11" s="155"/>
      <c r="Q11" s="211">
        <v>46</v>
      </c>
      <c r="R11" s="14"/>
      <c r="T11" s="39"/>
      <c r="V11" s="39"/>
      <c r="W11" s="40">
        <v>392</v>
      </c>
      <c r="X11" s="39"/>
      <c r="Y11" s="40">
        <v>414</v>
      </c>
      <c r="Z11" s="41"/>
      <c r="AA11" s="40">
        <v>527</v>
      </c>
      <c r="AB11" s="42" t="s">
        <v>3</v>
      </c>
      <c r="AC11" s="42" t="e">
        <f>24308/AM1</f>
        <v>#DIV/0!</v>
      </c>
      <c r="AD11" s="42" t="s">
        <v>3</v>
      </c>
      <c r="AE11" s="42" t="e">
        <f>22554/AM1</f>
        <v>#DIV/0!</v>
      </c>
      <c r="AF11" s="42" t="s">
        <v>6</v>
      </c>
      <c r="AG11" s="42" t="e">
        <f>29104/AM1</f>
        <v>#DIV/0!</v>
      </c>
      <c r="AH11" s="42" t="s">
        <v>6</v>
      </c>
      <c r="AI11" s="42" t="e">
        <f>48989/AM1+1</f>
        <v>#DIV/0!</v>
      </c>
      <c r="AJ11" s="38" t="s">
        <v>6</v>
      </c>
      <c r="AK11" s="42" t="e">
        <f>37124/AM1+1</f>
        <v>#DIV/0!</v>
      </c>
      <c r="AL11" s="38" t="s">
        <v>6</v>
      </c>
    </row>
    <row r="12" spans="1:175" s="29" customFormat="1" ht="14.25" customHeight="1">
      <c r="A12" s="20" t="s">
        <v>7</v>
      </c>
      <c r="B12" s="20" t="s">
        <v>8</v>
      </c>
      <c r="C12" s="20" t="s">
        <v>23</v>
      </c>
      <c r="D12" s="169"/>
      <c r="E12" s="195" t="s">
        <v>4</v>
      </c>
      <c r="F12" s="159"/>
      <c r="G12" s="206" t="s">
        <v>4</v>
      </c>
      <c r="H12" s="159"/>
      <c r="I12" s="206" t="s">
        <v>4</v>
      </c>
      <c r="J12" s="159"/>
      <c r="K12" s="216">
        <v>-238</v>
      </c>
      <c r="L12" s="170"/>
      <c r="M12" s="160">
        <v>-238</v>
      </c>
      <c r="N12" s="159"/>
      <c r="O12" s="216">
        <v>-238</v>
      </c>
      <c r="P12" s="159"/>
      <c r="Q12" s="216">
        <v>-238</v>
      </c>
      <c r="R12" s="24"/>
      <c r="S12" s="25"/>
      <c r="T12" s="24"/>
      <c r="U12" s="25"/>
      <c r="V12" s="24"/>
      <c r="W12" s="25"/>
      <c r="X12" s="24"/>
      <c r="Y12" s="25"/>
      <c r="Z12" s="26"/>
      <c r="AA12" s="25"/>
      <c r="AB12" s="27"/>
      <c r="AC12" s="28"/>
      <c r="AD12" s="27"/>
      <c r="AE12" s="28"/>
      <c r="AF12" s="27"/>
      <c r="AG12" s="28"/>
      <c r="AH12" s="27"/>
      <c r="AI12" s="28"/>
      <c r="AJ12" s="27"/>
      <c r="AK12" s="28"/>
      <c r="AL12" s="28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</row>
    <row r="13" spans="1:175" s="29" customFormat="1" ht="12.75">
      <c r="A13" s="20" t="s">
        <v>10</v>
      </c>
      <c r="B13" s="20" t="s">
        <v>11</v>
      </c>
      <c r="C13" s="20" t="s">
        <v>24</v>
      </c>
      <c r="D13" s="149"/>
      <c r="E13" s="195"/>
      <c r="F13" s="158"/>
      <c r="G13" s="207"/>
      <c r="H13" s="158"/>
      <c r="I13" s="207"/>
      <c r="J13" s="159"/>
      <c r="K13" s="216"/>
      <c r="L13" s="161"/>
      <c r="M13" s="162"/>
      <c r="N13" s="158"/>
      <c r="O13" s="207"/>
      <c r="P13" s="159"/>
      <c r="Q13" s="216"/>
      <c r="R13" s="24"/>
      <c r="S13" s="25"/>
      <c r="T13" s="24"/>
      <c r="U13" s="25"/>
      <c r="V13" s="24"/>
      <c r="W13" s="25"/>
      <c r="X13" s="24"/>
      <c r="Y13" s="25"/>
      <c r="Z13" s="26"/>
      <c r="AA13" s="25"/>
      <c r="AB13" s="27"/>
      <c r="AC13" s="28"/>
      <c r="AD13" s="27"/>
      <c r="AE13" s="28"/>
      <c r="AF13" s="27"/>
      <c r="AG13" s="28"/>
      <c r="AH13" s="27"/>
      <c r="AI13" s="28"/>
      <c r="AJ13" s="27"/>
      <c r="AK13" s="28"/>
      <c r="AL13" s="28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</row>
    <row r="14" spans="1:40" s="140" customFormat="1" ht="12.75">
      <c r="A14" s="113" t="s">
        <v>50</v>
      </c>
      <c r="B14" s="114" t="s">
        <v>51</v>
      </c>
      <c r="C14" s="114" t="s">
        <v>27</v>
      </c>
      <c r="D14" s="228"/>
      <c r="E14" s="231">
        <f>SUM(E2:E11)</f>
        <v>9373</v>
      </c>
      <c r="F14" s="228"/>
      <c r="G14" s="229">
        <f>SUM(G2:G11)</f>
        <v>10342</v>
      </c>
      <c r="H14" s="230"/>
      <c r="I14" s="229">
        <f>SUM(I2:I11)</f>
        <v>11012</v>
      </c>
      <c r="J14" s="230"/>
      <c r="K14" s="229">
        <f>SUM(K2:K12)-K4-K12</f>
        <v>10854</v>
      </c>
      <c r="L14" s="116">
        <f>SUM(L3:L11)</f>
        <v>626.9499999999999</v>
      </c>
      <c r="M14" s="116">
        <f>SUM(M3:M11)</f>
        <v>12256</v>
      </c>
      <c r="N14" s="230"/>
      <c r="O14" s="229">
        <f>SUM(O2:O12)-O4-O12</f>
        <v>9283</v>
      </c>
      <c r="P14" s="228"/>
      <c r="Q14" s="229">
        <f>SUM(Q2:Q12)-Q4-Q12</f>
        <v>10017</v>
      </c>
      <c r="R14" s="98"/>
      <c r="S14" s="99"/>
      <c r="T14" s="137"/>
      <c r="U14" s="99"/>
      <c r="V14" s="137"/>
      <c r="W14" s="99">
        <f>SUM(W3:W7:W13)-W12-W4</f>
        <v>7069</v>
      </c>
      <c r="X14" s="137"/>
      <c r="Y14" s="99">
        <f>SUM(Y3:Y7:Y13)-Y12-Y4</f>
        <v>7193</v>
      </c>
      <c r="Z14" s="138"/>
      <c r="AA14" s="99">
        <f>SUM(AA3:AA7:AA13)-AA12-AA4</f>
        <v>6268</v>
      </c>
      <c r="AB14" s="100" t="s">
        <v>3</v>
      </c>
      <c r="AC14" s="99" t="e">
        <f>SUM(AC3:AC7:AC13)-AC12-AC4-1</f>
        <v>#DIV/0!</v>
      </c>
      <c r="AD14" s="100" t="s">
        <v>3</v>
      </c>
      <c r="AE14" s="99" t="e">
        <f>SUM(AE7:AE11)</f>
        <v>#DIV/0!</v>
      </c>
      <c r="AF14" s="100" t="s">
        <v>6</v>
      </c>
      <c r="AG14" s="99" t="e">
        <f>SUM(AG7:AG11)</f>
        <v>#DIV/0!</v>
      </c>
      <c r="AH14" s="100" t="s">
        <v>6</v>
      </c>
      <c r="AI14" s="116" t="e">
        <f>SUM(AI7:AI11)-2</f>
        <v>#DIV/0!</v>
      </c>
      <c r="AJ14" s="139" t="s">
        <v>6</v>
      </c>
      <c r="AK14" s="116" t="e">
        <f>SUM(AK7:AK11)-1</f>
        <v>#DIV/0!</v>
      </c>
      <c r="AL14" s="97" t="s">
        <v>6</v>
      </c>
      <c r="AM14" s="140" t="e">
        <f>236182/AM1</f>
        <v>#DIV/0!</v>
      </c>
      <c r="AN14" s="140" t="e">
        <f>214263/AM1</f>
        <v>#DIV/0!</v>
      </c>
    </row>
    <row r="15" spans="1:38" s="48" customFormat="1" ht="12.75">
      <c r="A15" s="118" t="s">
        <v>52</v>
      </c>
      <c r="B15" s="118" t="s">
        <v>53</v>
      </c>
      <c r="C15" s="118" t="s">
        <v>54</v>
      </c>
      <c r="D15" s="174"/>
      <c r="E15" s="198">
        <v>67.77</v>
      </c>
      <c r="F15" s="174"/>
      <c r="G15" s="213">
        <v>74.78</v>
      </c>
      <c r="H15" s="174"/>
      <c r="I15" s="213">
        <v>79.62</v>
      </c>
      <c r="J15" s="174"/>
      <c r="K15" s="213">
        <v>78.48</v>
      </c>
      <c r="L15" s="177"/>
      <c r="M15" s="176">
        <v>476.02</v>
      </c>
      <c r="N15" s="174"/>
      <c r="O15" s="213">
        <f>379.94/5</f>
        <v>75.988</v>
      </c>
      <c r="P15" s="174"/>
      <c r="Q15" s="213">
        <v>82</v>
      </c>
      <c r="R15" s="45"/>
      <c r="S15" s="36"/>
      <c r="T15" s="45"/>
      <c r="U15" s="36"/>
      <c r="V15" s="45"/>
      <c r="W15" s="36">
        <v>289.33</v>
      </c>
      <c r="X15" s="45"/>
      <c r="Y15" s="36">
        <v>256.53</v>
      </c>
      <c r="Z15" s="35"/>
      <c r="AA15" s="36">
        <v>256.53</v>
      </c>
      <c r="AB15" s="36" t="s">
        <v>3</v>
      </c>
      <c r="AC15" s="36">
        <v>239.64</v>
      </c>
      <c r="AD15" s="36" t="s">
        <v>3</v>
      </c>
      <c r="AE15" s="36">
        <v>217.47</v>
      </c>
      <c r="AF15" s="47"/>
      <c r="AG15" s="36">
        <v>238.97</v>
      </c>
      <c r="AH15" s="36" t="s">
        <v>6</v>
      </c>
      <c r="AI15" s="47">
        <v>206.87</v>
      </c>
      <c r="AJ15" s="37" t="s">
        <v>6</v>
      </c>
      <c r="AK15" s="47">
        <v>178.36</v>
      </c>
      <c r="AL15" s="37" t="s">
        <v>6</v>
      </c>
    </row>
    <row r="16" spans="1:38" s="48" customFormat="1" ht="12.75">
      <c r="A16" s="118" t="s">
        <v>55</v>
      </c>
      <c r="B16" s="118" t="s">
        <v>56</v>
      </c>
      <c r="C16" s="118" t="s">
        <v>57</v>
      </c>
      <c r="D16" s="174"/>
      <c r="E16" s="199">
        <v>59.05</v>
      </c>
      <c r="F16" s="174"/>
      <c r="G16" s="214">
        <v>52.5</v>
      </c>
      <c r="H16" s="174"/>
      <c r="I16" s="214">
        <v>65.75</v>
      </c>
      <c r="J16" s="174"/>
      <c r="K16" s="214">
        <v>66.2</v>
      </c>
      <c r="L16" s="177"/>
      <c r="M16" s="179">
        <v>267.5</v>
      </c>
      <c r="N16" s="174"/>
      <c r="O16" s="214">
        <f>313.7/5</f>
        <v>62.739999999999995</v>
      </c>
      <c r="P16" s="174"/>
      <c r="Q16" s="214">
        <v>50.6</v>
      </c>
      <c r="R16" s="45"/>
      <c r="T16" s="45"/>
      <c r="V16" s="45"/>
      <c r="W16" s="48">
        <v>186.9</v>
      </c>
      <c r="X16" s="45"/>
      <c r="Y16" s="48">
        <v>163.9</v>
      </c>
      <c r="Z16" s="35"/>
      <c r="AA16" s="48">
        <v>167.5</v>
      </c>
      <c r="AB16" s="46" t="s">
        <v>3</v>
      </c>
      <c r="AC16" s="46">
        <v>173.53</v>
      </c>
      <c r="AD16" s="46" t="s">
        <v>3</v>
      </c>
      <c r="AE16" s="46">
        <v>160.64</v>
      </c>
      <c r="AF16" s="36" t="s">
        <v>6</v>
      </c>
      <c r="AG16" s="36">
        <v>186.17</v>
      </c>
      <c r="AH16" s="36" t="s">
        <v>6</v>
      </c>
      <c r="AI16" s="36">
        <v>160.64</v>
      </c>
      <c r="AJ16" s="37" t="s">
        <v>6</v>
      </c>
      <c r="AK16" s="36">
        <v>132.87</v>
      </c>
      <c r="AL16" s="44" t="s">
        <v>6</v>
      </c>
    </row>
    <row r="17" spans="1:38" s="51" customFormat="1" ht="12.75">
      <c r="A17" s="122" t="s">
        <v>34</v>
      </c>
      <c r="B17" s="122" t="s">
        <v>35</v>
      </c>
      <c r="C17" s="122" t="s">
        <v>36</v>
      </c>
      <c r="D17" s="180"/>
      <c r="E17" s="200" t="s">
        <v>4</v>
      </c>
      <c r="F17" s="180"/>
      <c r="G17" s="215" t="s">
        <v>4</v>
      </c>
      <c r="H17" s="180"/>
      <c r="I17" s="215" t="s">
        <v>4</v>
      </c>
      <c r="J17" s="180"/>
      <c r="K17" s="215">
        <v>0.156</v>
      </c>
      <c r="L17" s="183"/>
      <c r="M17" s="182">
        <v>0.438</v>
      </c>
      <c r="N17" s="180"/>
      <c r="O17" s="215">
        <v>0.174</v>
      </c>
      <c r="P17" s="180"/>
      <c r="Q17" s="215">
        <v>0.383</v>
      </c>
      <c r="R17" s="50"/>
      <c r="T17" s="50"/>
      <c r="V17" s="50"/>
      <c r="W17" s="51">
        <v>0.354</v>
      </c>
      <c r="X17" s="50"/>
      <c r="Y17" s="51">
        <v>0.443</v>
      </c>
      <c r="Z17" s="52"/>
      <c r="AA17" s="51">
        <v>0.347</v>
      </c>
      <c r="AB17" s="53" t="s">
        <v>3</v>
      </c>
      <c r="AC17" s="53">
        <v>0.276</v>
      </c>
      <c r="AD17" s="53" t="s">
        <v>3</v>
      </c>
      <c r="AE17" s="53">
        <v>0.26</v>
      </c>
      <c r="AF17" s="53" t="s">
        <v>6</v>
      </c>
      <c r="AG17" s="53">
        <v>0.221</v>
      </c>
      <c r="AH17" s="53" t="s">
        <v>6</v>
      </c>
      <c r="AI17" s="53">
        <v>0.224</v>
      </c>
      <c r="AJ17" s="49" t="s">
        <v>6</v>
      </c>
      <c r="AK17" s="53">
        <v>0.255</v>
      </c>
      <c r="AL17" s="49" t="s">
        <v>6</v>
      </c>
    </row>
    <row r="18" spans="1:38" s="19" customFormat="1" ht="12.75">
      <c r="A18" s="126" t="s">
        <v>67</v>
      </c>
      <c r="B18" s="126" t="s">
        <v>69</v>
      </c>
      <c r="C18" s="126" t="s">
        <v>70</v>
      </c>
      <c r="D18" s="171"/>
      <c r="E18" s="197">
        <v>138300053</v>
      </c>
      <c r="F18" s="171"/>
      <c r="G18" s="212">
        <v>138300053</v>
      </c>
      <c r="H18" s="171"/>
      <c r="I18" s="212">
        <v>138300053</v>
      </c>
      <c r="J18" s="171"/>
      <c r="K18" s="212">
        <v>138300053</v>
      </c>
      <c r="L18" s="184"/>
      <c r="M18" s="173">
        <v>24432025</v>
      </c>
      <c r="N18" s="171"/>
      <c r="O18" s="212">
        <v>122160125</v>
      </c>
      <c r="P18" s="171"/>
      <c r="Q18" s="212">
        <v>122160125</v>
      </c>
      <c r="R18" s="14"/>
      <c r="S18" s="18"/>
      <c r="T18" s="34"/>
      <c r="U18" s="18"/>
      <c r="V18" s="34"/>
      <c r="W18" s="18">
        <v>24432025</v>
      </c>
      <c r="X18" s="34"/>
      <c r="Y18" s="18">
        <v>24432025</v>
      </c>
      <c r="Z18" s="35"/>
      <c r="AA18" s="18">
        <v>24432025</v>
      </c>
      <c r="AB18" s="36" t="s">
        <v>3</v>
      </c>
      <c r="AC18" s="18">
        <v>24432025</v>
      </c>
      <c r="AD18" s="36" t="s">
        <v>3</v>
      </c>
      <c r="AE18" s="18">
        <v>24458667</v>
      </c>
      <c r="AF18" s="36" t="s">
        <v>6</v>
      </c>
      <c r="AG18" s="18">
        <v>24402157</v>
      </c>
      <c r="AH18" s="36" t="s">
        <v>6</v>
      </c>
      <c r="AI18" s="18">
        <v>25783578</v>
      </c>
      <c r="AJ18" s="37" t="s">
        <v>6</v>
      </c>
      <c r="AK18" s="18">
        <v>25783578</v>
      </c>
      <c r="AL18" s="30" t="s">
        <v>6</v>
      </c>
    </row>
    <row r="19" spans="1:30" s="66" customFormat="1" ht="12.75">
      <c r="A19" s="11"/>
      <c r="B19" s="11"/>
      <c r="C19" s="11"/>
      <c r="D19" s="185"/>
      <c r="E19" s="201"/>
      <c r="F19" s="185"/>
      <c r="G19" s="201"/>
      <c r="H19" s="185"/>
      <c r="I19" s="201"/>
      <c r="J19" s="185"/>
      <c r="K19" s="201"/>
      <c r="L19" s="187"/>
      <c r="M19" s="186"/>
      <c r="N19" s="185"/>
      <c r="O19" s="201"/>
      <c r="P19" s="185"/>
      <c r="Q19" s="201"/>
      <c r="R19" s="67"/>
      <c r="S19" s="68"/>
      <c r="T19" s="69"/>
      <c r="V19" s="69"/>
      <c r="X19" s="69"/>
      <c r="Z19" s="70"/>
      <c r="AB19" s="70"/>
      <c r="AD19" s="71"/>
    </row>
    <row r="20" spans="1:30" ht="38.25">
      <c r="A20" s="96" t="s">
        <v>68</v>
      </c>
      <c r="B20" s="135" t="s">
        <v>76</v>
      </c>
      <c r="C20" s="57" t="s">
        <v>71</v>
      </c>
      <c r="D20" s="188"/>
      <c r="E20" s="202"/>
      <c r="F20" s="189"/>
      <c r="G20" s="202"/>
      <c r="H20" s="189"/>
      <c r="I20" s="202"/>
      <c r="J20" s="189"/>
      <c r="K20" s="202"/>
      <c r="L20" s="76"/>
      <c r="M20" s="75"/>
      <c r="N20" s="188"/>
      <c r="O20" s="202"/>
      <c r="P20" s="189"/>
      <c r="Q20" s="202"/>
      <c r="R20" s="59"/>
      <c r="S20" s="57"/>
      <c r="X20" s="55"/>
      <c r="AB20" s="56"/>
      <c r="AD20"/>
    </row>
    <row r="21" spans="1:33" s="19" customFormat="1" ht="25.5">
      <c r="A21" s="96" t="s">
        <v>37</v>
      </c>
      <c r="B21" s="96" t="s">
        <v>38</v>
      </c>
      <c r="C21" s="96" t="s">
        <v>75</v>
      </c>
      <c r="D21" s="190"/>
      <c r="E21" s="203"/>
      <c r="F21" s="191"/>
      <c r="G21" s="203"/>
      <c r="H21" s="191"/>
      <c r="I21" s="203"/>
      <c r="J21" s="191"/>
      <c r="K21" s="203"/>
      <c r="L21" s="74"/>
      <c r="M21" s="72"/>
      <c r="N21" s="190"/>
      <c r="O21" s="203"/>
      <c r="P21" s="191"/>
      <c r="Q21" s="203"/>
      <c r="R21" s="16"/>
      <c r="S21"/>
      <c r="T21" s="57"/>
      <c r="W21" s="36"/>
      <c r="X21" s="30"/>
      <c r="Y21" s="36"/>
      <c r="Z21" s="33"/>
      <c r="AA21" s="33"/>
      <c r="AB21" s="33"/>
      <c r="AC21" s="33"/>
      <c r="AD21" s="33"/>
      <c r="AE21" s="33"/>
      <c r="AF21" s="33"/>
      <c r="AG21" s="30"/>
    </row>
    <row r="22" spans="3:30" ht="12.75">
      <c r="C22" s="57"/>
      <c r="D22" s="188"/>
      <c r="E22" s="202"/>
      <c r="F22" s="189"/>
      <c r="G22" s="202"/>
      <c r="H22" s="189"/>
      <c r="I22" s="202"/>
      <c r="J22" s="189"/>
      <c r="K22" s="202"/>
      <c r="L22" s="76"/>
      <c r="M22" s="75"/>
      <c r="N22" s="188"/>
      <c r="O22" s="202"/>
      <c r="P22" s="189"/>
      <c r="Q22" s="202"/>
      <c r="R22" s="59"/>
      <c r="S22" s="57"/>
      <c r="X22" s="55"/>
      <c r="AB22" s="56"/>
      <c r="AD22"/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14"/>
  <sheetViews>
    <sheetView showGridLines="0" zoomScalePageLayoutView="0" workbookViewId="0" topLeftCell="A1">
      <selection activeCell="B47" sqref="B47"/>
    </sheetView>
  </sheetViews>
  <sheetFormatPr defaultColWidth="11.421875" defaultRowHeight="12.75"/>
  <cols>
    <col min="1" max="1" width="21.8515625" style="0" customWidth="1"/>
    <col min="2" max="2" width="26.00390625" style="0" customWidth="1"/>
    <col min="3" max="3" width="22.00390625" style="0" customWidth="1"/>
    <col min="4" max="4" width="11.57421875" style="106" customWidth="1"/>
    <col min="5" max="5" width="12.421875" style="203" customWidth="1"/>
    <col min="6" max="6" width="10.7109375" style="106" customWidth="1"/>
    <col min="7" max="7" width="11.421875" style="203" customWidth="1"/>
    <col min="8" max="8" width="11.421875" style="106" customWidth="1"/>
    <col min="9" max="9" width="12.7109375" style="203" customWidth="1"/>
    <col min="10" max="10" width="11.421875" style="106" customWidth="1"/>
    <col min="11" max="11" width="12.421875" style="203" customWidth="1"/>
    <col min="12" max="12" width="9.140625" style="54" hidden="1" customWidth="1"/>
    <col min="13" max="13" width="9.140625" style="0" hidden="1" customWidth="1"/>
    <col min="14" max="14" width="11.421875" style="106" customWidth="1"/>
    <col min="15" max="15" width="13.00390625" style="203" customWidth="1"/>
    <col min="16" max="16" width="11.421875" style="106" customWidth="1"/>
    <col min="17" max="17" width="12.421875" style="203" customWidth="1"/>
    <col min="18" max="18" width="11.421875" style="54" customWidth="1"/>
    <col min="19" max="19" width="12.28125" style="0" customWidth="1"/>
    <col min="20" max="20" width="11.421875" style="54" customWidth="1"/>
    <col min="21" max="21" width="11.421875" style="0" customWidth="1"/>
    <col min="22" max="22" width="9.140625" style="54" hidden="1" customWidth="1"/>
    <col min="23" max="23" width="9.140625" style="0" hidden="1" customWidth="1"/>
    <col min="24" max="24" width="9.140625" style="54" hidden="1" customWidth="1"/>
    <col min="25" max="25" width="9.140625" style="0" hidden="1" customWidth="1"/>
    <col min="26" max="26" width="11.57421875" style="55" hidden="1" customWidth="1"/>
    <col min="27" max="27" width="9.140625" style="0" hidden="1" customWidth="1"/>
    <col min="28" max="28" width="9.140625" style="55" hidden="1" customWidth="1"/>
    <col min="29" max="29" width="9.140625" style="0" hidden="1" customWidth="1"/>
    <col min="30" max="30" width="11.57421875" style="56" hidden="1" customWidth="1"/>
    <col min="31" max="33" width="9.140625" style="0" hidden="1" customWidth="1"/>
    <col min="34" max="37" width="11.421875" style="0" hidden="1" customWidth="1"/>
    <col min="38" max="38" width="11.421875" style="0" customWidth="1"/>
    <col min="39" max="40" width="9.140625" style="0" hidden="1" customWidth="1"/>
  </cols>
  <sheetData>
    <row r="1" spans="1:40" s="87" customFormat="1" ht="12.75">
      <c r="A1" s="79" t="s">
        <v>0</v>
      </c>
      <c r="B1" s="79" t="s">
        <v>1</v>
      </c>
      <c r="C1" s="79" t="s">
        <v>2</v>
      </c>
      <c r="D1" s="136"/>
      <c r="E1" s="192">
        <v>37621</v>
      </c>
      <c r="F1" s="136"/>
      <c r="G1" s="192">
        <v>37501</v>
      </c>
      <c r="H1" s="136"/>
      <c r="I1" s="192">
        <v>37437</v>
      </c>
      <c r="J1" s="136"/>
      <c r="K1" s="192">
        <v>37389</v>
      </c>
      <c r="L1" s="90"/>
      <c r="M1" s="88">
        <v>37337</v>
      </c>
      <c r="N1" s="136"/>
      <c r="O1" s="192">
        <v>37337</v>
      </c>
      <c r="P1" s="136"/>
      <c r="Q1" s="192">
        <v>37256</v>
      </c>
      <c r="R1" s="79"/>
      <c r="S1" s="79"/>
      <c r="T1" s="82"/>
      <c r="U1" s="81"/>
      <c r="V1" s="82"/>
      <c r="W1" s="81">
        <v>36420</v>
      </c>
      <c r="X1" s="82"/>
      <c r="Y1" s="81">
        <v>36341</v>
      </c>
      <c r="Z1" s="81"/>
      <c r="AA1" s="81">
        <v>36231</v>
      </c>
      <c r="AB1" s="81"/>
      <c r="AC1" s="81">
        <v>36160</v>
      </c>
      <c r="AD1" s="83"/>
      <c r="AE1" s="81">
        <v>36052</v>
      </c>
      <c r="AF1" s="84" t="s">
        <v>3</v>
      </c>
      <c r="AG1" s="85">
        <v>35976</v>
      </c>
      <c r="AH1" s="84" t="s">
        <v>3</v>
      </c>
      <c r="AI1" s="85">
        <v>35884</v>
      </c>
      <c r="AJ1" s="86" t="s">
        <v>3</v>
      </c>
      <c r="AK1" s="85">
        <v>35795</v>
      </c>
      <c r="AM1" s="87">
        <v>40.3399</v>
      </c>
      <c r="AN1" s="87">
        <v>6.55957</v>
      </c>
    </row>
    <row r="2" spans="1:37" s="11" customFormat="1" ht="12.75">
      <c r="A2" s="1" t="s">
        <v>65</v>
      </c>
      <c r="B2" s="1" t="str">
        <f>A2</f>
        <v>Bertelsmann (1)</v>
      </c>
      <c r="C2" s="1" t="str">
        <f>A2</f>
        <v>Bertelsmann (1)</v>
      </c>
      <c r="D2" s="128" t="s">
        <v>4</v>
      </c>
      <c r="E2" s="193">
        <v>1678</v>
      </c>
      <c r="F2" s="128" t="s">
        <v>4</v>
      </c>
      <c r="G2" s="193">
        <v>1908</v>
      </c>
      <c r="H2" s="128" t="s">
        <v>4</v>
      </c>
      <c r="I2" s="193">
        <v>2144</v>
      </c>
      <c r="J2" s="128" t="s">
        <v>4</v>
      </c>
      <c r="K2" s="193">
        <v>2219</v>
      </c>
      <c r="L2" s="2" t="s">
        <v>4</v>
      </c>
      <c r="M2" s="3">
        <v>2276</v>
      </c>
      <c r="N2" s="128" t="s">
        <v>4</v>
      </c>
      <c r="O2" s="193">
        <v>2276</v>
      </c>
      <c r="P2" s="128" t="s">
        <v>4</v>
      </c>
      <c r="Q2" s="193">
        <v>2276</v>
      </c>
      <c r="R2" s="5"/>
      <c r="S2" s="6"/>
      <c r="T2" s="5"/>
      <c r="U2" s="6"/>
      <c r="V2" s="5"/>
      <c r="W2" s="6"/>
      <c r="X2" s="5"/>
      <c r="Y2" s="6"/>
      <c r="Z2" s="6"/>
      <c r="AA2" s="6"/>
      <c r="AB2" s="6"/>
      <c r="AC2" s="6"/>
      <c r="AD2" s="7"/>
      <c r="AE2" s="6"/>
      <c r="AF2" s="8"/>
      <c r="AG2" s="9"/>
      <c r="AH2" s="8"/>
      <c r="AI2" s="9"/>
      <c r="AJ2" s="10"/>
      <c r="AK2" s="9"/>
    </row>
    <row r="3" spans="1:38" s="19" customFormat="1" ht="12.75">
      <c r="A3" s="30" t="s">
        <v>13</v>
      </c>
      <c r="B3" s="1" t="str">
        <f>A3</f>
        <v>TotalFinaElf</v>
      </c>
      <c r="C3" s="30" t="str">
        <f>A3</f>
        <v>TotalFinaElf</v>
      </c>
      <c r="D3" s="105">
        <v>136.1</v>
      </c>
      <c r="E3" s="196">
        <v>3196</v>
      </c>
      <c r="F3" s="105">
        <v>141</v>
      </c>
      <c r="G3" s="196">
        <v>3311</v>
      </c>
      <c r="H3" s="105">
        <v>164.4</v>
      </c>
      <c r="I3" s="196">
        <v>3861</v>
      </c>
      <c r="J3" s="105">
        <v>168.6</v>
      </c>
      <c r="K3" s="196">
        <v>3960</v>
      </c>
      <c r="L3" s="14">
        <v>171.4</v>
      </c>
      <c r="M3" s="31">
        <v>4025</v>
      </c>
      <c r="N3" s="105">
        <v>171.4</v>
      </c>
      <c r="O3" s="196">
        <v>4025</v>
      </c>
      <c r="P3" s="105">
        <v>160.4</v>
      </c>
      <c r="Q3" s="196">
        <v>3767</v>
      </c>
      <c r="R3" s="14"/>
      <c r="S3" s="15"/>
      <c r="T3" s="14"/>
      <c r="U3" s="15"/>
      <c r="V3" s="14">
        <v>120.9</v>
      </c>
      <c r="W3" s="15">
        <v>2351</v>
      </c>
      <c r="X3" s="14">
        <v>125.1</v>
      </c>
      <c r="Y3" s="15">
        <v>2399</v>
      </c>
      <c r="Z3" s="32">
        <f>460.3/4.5</f>
        <v>102.28888888888889</v>
      </c>
      <c r="AA3" s="15">
        <v>1921</v>
      </c>
      <c r="AB3" s="17">
        <v>86.76</v>
      </c>
      <c r="AC3" s="18">
        <v>1590</v>
      </c>
      <c r="AD3" s="17" t="e">
        <f>12875/(#REF!*4.5)</f>
        <v>#REF!</v>
      </c>
      <c r="AE3" s="18" t="e">
        <f>52109/#REF!</f>
        <v>#REF!</v>
      </c>
      <c r="AF3" s="17" t="e">
        <f>15275/(#REF!*4.5)</f>
        <v>#REF!</v>
      </c>
      <c r="AG3" s="18" t="e">
        <f>61445/#REF!</f>
        <v>#REF!</v>
      </c>
      <c r="AH3" s="17" t="e">
        <f>13950/#REF!</f>
        <v>#REF!</v>
      </c>
      <c r="AI3" s="18" t="e">
        <f>38455/#REF!</f>
        <v>#REF!</v>
      </c>
      <c r="AJ3" s="4" t="e">
        <f>13675/#REF!</f>
        <v>#REF!</v>
      </c>
      <c r="AK3" s="18" t="e">
        <f>35072/#REF!</f>
        <v>#REF!</v>
      </c>
      <c r="AL3" s="30" t="s">
        <v>6</v>
      </c>
    </row>
    <row r="4" spans="1:38" s="19" customFormat="1" ht="12.75">
      <c r="A4" s="30" t="s">
        <v>77</v>
      </c>
      <c r="B4" s="1" t="str">
        <f>A4</f>
        <v>Suez </v>
      </c>
      <c r="C4" s="30" t="str">
        <f>A4</f>
        <v>Suez </v>
      </c>
      <c r="D4" s="105">
        <v>16.54</v>
      </c>
      <c r="E4" s="196">
        <v>1198</v>
      </c>
      <c r="F4" s="105">
        <v>22.26</v>
      </c>
      <c r="G4" s="196">
        <v>1613</v>
      </c>
      <c r="H4" s="105">
        <v>27</v>
      </c>
      <c r="I4" s="196">
        <v>1956</v>
      </c>
      <c r="J4" s="105">
        <v>32.17</v>
      </c>
      <c r="K4" s="196">
        <v>2331</v>
      </c>
      <c r="L4" s="14">
        <v>31.73</v>
      </c>
      <c r="M4" s="31">
        <v>2299</v>
      </c>
      <c r="N4" s="105">
        <v>31.73</v>
      </c>
      <c r="O4" s="196">
        <v>2299</v>
      </c>
      <c r="P4" s="105">
        <v>34</v>
      </c>
      <c r="Q4" s="196">
        <v>2464</v>
      </c>
      <c r="R4" s="14"/>
      <c r="S4" s="18"/>
      <c r="T4" s="14"/>
      <c r="U4" s="18"/>
      <c r="V4" s="14">
        <v>159.9</v>
      </c>
      <c r="W4" s="18">
        <v>2134</v>
      </c>
      <c r="X4" s="14">
        <v>174.9</v>
      </c>
      <c r="Y4" s="18">
        <v>2278</v>
      </c>
      <c r="Z4" s="17">
        <v>173.2</v>
      </c>
      <c r="AA4" s="18">
        <v>2197</v>
      </c>
      <c r="AB4" s="17">
        <f>1148/AN1</f>
        <v>175.0114717885471</v>
      </c>
      <c r="AC4" s="18">
        <f>85728/AM1</f>
        <v>2125.1416091760266</v>
      </c>
      <c r="AD4" s="17">
        <f>1029/AN1</f>
        <v>156.8700387372953</v>
      </c>
      <c r="AE4" s="18">
        <f>76396/AM1</f>
        <v>1893.8073718576397</v>
      </c>
      <c r="AF4" s="17">
        <f>995/AN1</f>
        <v>151.68677215122332</v>
      </c>
      <c r="AG4" s="18">
        <f>73440/AM1</f>
        <v>1820.5300459346702</v>
      </c>
      <c r="AH4" s="17">
        <f>889/AN1</f>
        <v>135.52717632405782</v>
      </c>
      <c r="AI4" s="18">
        <f>41140/AM1</f>
        <v>1019.8339609171069</v>
      </c>
      <c r="AJ4" s="4">
        <f>666/AN1</f>
        <v>101.53104548011531</v>
      </c>
      <c r="AK4" s="18">
        <f>28071/AM1</f>
        <v>695.8619133909604</v>
      </c>
      <c r="AL4" s="30" t="s">
        <v>6</v>
      </c>
    </row>
    <row r="5" spans="1:38" s="19" customFormat="1" ht="12.75">
      <c r="A5" s="30" t="s">
        <v>14</v>
      </c>
      <c r="B5" s="1" t="str">
        <f>A5</f>
        <v>Imerys</v>
      </c>
      <c r="C5" s="30" t="str">
        <f>A5</f>
        <v>Imerys</v>
      </c>
      <c r="D5" s="105">
        <v>120.4</v>
      </c>
      <c r="E5" s="196">
        <v>504</v>
      </c>
      <c r="F5" s="105">
        <v>130.5</v>
      </c>
      <c r="G5" s="196">
        <v>546</v>
      </c>
      <c r="H5" s="105">
        <v>129.5</v>
      </c>
      <c r="I5" s="196">
        <v>542</v>
      </c>
      <c r="J5" s="105">
        <v>133</v>
      </c>
      <c r="K5" s="196">
        <v>557</v>
      </c>
      <c r="L5" s="14">
        <v>125</v>
      </c>
      <c r="M5" s="31">
        <v>523</v>
      </c>
      <c r="N5" s="105">
        <v>125</v>
      </c>
      <c r="O5" s="196">
        <v>523</v>
      </c>
      <c r="P5" s="105">
        <v>107.8</v>
      </c>
      <c r="Q5" s="196">
        <v>451</v>
      </c>
      <c r="R5" s="14"/>
      <c r="S5" s="15"/>
      <c r="T5" s="14"/>
      <c r="U5" s="15"/>
      <c r="V5" s="14">
        <v>149.1</v>
      </c>
      <c r="W5" s="15">
        <v>624</v>
      </c>
      <c r="X5" s="14">
        <v>144</v>
      </c>
      <c r="Y5" s="15">
        <v>603</v>
      </c>
      <c r="Z5" s="16">
        <v>99.6</v>
      </c>
      <c r="AA5" s="15">
        <v>417</v>
      </c>
      <c r="AB5" s="17">
        <f>560/AN1</f>
        <v>85.37144965294982</v>
      </c>
      <c r="AC5" s="18">
        <f>14416/AM1</f>
        <v>357.36330531310193</v>
      </c>
      <c r="AD5" s="17">
        <f>563/AN1</f>
        <v>85.82879670466204</v>
      </c>
      <c r="AE5" s="18">
        <f>14484/AM1</f>
        <v>359.0489812815599</v>
      </c>
      <c r="AF5" s="17">
        <f>831/AN1</f>
        <v>126.68513332428803</v>
      </c>
      <c r="AG5" s="18">
        <f>19136/AM1</f>
        <v>474.3690490060709</v>
      </c>
      <c r="AH5" s="17">
        <f>818/AN1</f>
        <v>124.7032961002017</v>
      </c>
      <c r="AI5" s="18">
        <f>16662/AM1</f>
        <v>413.0401909771715</v>
      </c>
      <c r="AJ5" s="4">
        <f>748/AN1</f>
        <v>114.03186489358296</v>
      </c>
      <c r="AK5" s="18">
        <f>15243/AM1</f>
        <v>377.8640998118488</v>
      </c>
      <c r="AL5" s="30" t="s">
        <v>6</v>
      </c>
    </row>
    <row r="6" spans="1:38" s="19" customFormat="1" ht="12.75">
      <c r="A6" s="30" t="s">
        <v>15</v>
      </c>
      <c r="B6" s="1" t="str">
        <f>A6</f>
        <v>Rhodia</v>
      </c>
      <c r="C6" s="30" t="str">
        <f>A6</f>
        <v>Rhodia</v>
      </c>
      <c r="D6" s="105">
        <v>7.89</v>
      </c>
      <c r="E6" s="196">
        <v>75</v>
      </c>
      <c r="F6" s="105">
        <v>9</v>
      </c>
      <c r="G6" s="196">
        <v>86</v>
      </c>
      <c r="H6" s="105">
        <v>8.71</v>
      </c>
      <c r="I6" s="196">
        <v>83</v>
      </c>
      <c r="J6" s="105">
        <v>12.05</v>
      </c>
      <c r="K6" s="196">
        <v>115</v>
      </c>
      <c r="L6" s="14">
        <v>11.33</v>
      </c>
      <c r="M6" s="31">
        <v>108</v>
      </c>
      <c r="N6" s="105">
        <v>11.33</v>
      </c>
      <c r="O6" s="196">
        <v>108</v>
      </c>
      <c r="P6" s="105">
        <v>8.98</v>
      </c>
      <c r="Q6" s="196">
        <v>86</v>
      </c>
      <c r="R6" s="14"/>
      <c r="S6" s="33"/>
      <c r="T6" s="14"/>
      <c r="U6" s="33"/>
      <c r="V6" s="33"/>
      <c r="W6" s="33" t="s">
        <v>16</v>
      </c>
      <c r="X6" s="34"/>
      <c r="Y6" s="33" t="s">
        <v>16</v>
      </c>
      <c r="Z6" s="35"/>
      <c r="AA6" s="33" t="s">
        <v>16</v>
      </c>
      <c r="AB6" s="36"/>
      <c r="AC6" s="33" t="s">
        <v>16</v>
      </c>
      <c r="AD6" s="36"/>
      <c r="AE6" s="33"/>
      <c r="AF6" s="36"/>
      <c r="AG6" s="33"/>
      <c r="AH6" s="36"/>
      <c r="AI6" s="18"/>
      <c r="AJ6" s="37"/>
      <c r="AK6" s="18"/>
      <c r="AL6" s="30"/>
    </row>
    <row r="7" spans="1:38" s="19" customFormat="1" ht="12.75">
      <c r="A7" s="30" t="s">
        <v>17</v>
      </c>
      <c r="B7" s="30" t="s">
        <v>18</v>
      </c>
      <c r="C7" s="30" t="s">
        <v>19</v>
      </c>
      <c r="D7" s="105"/>
      <c r="E7" s="196">
        <v>35</v>
      </c>
      <c r="F7" s="105"/>
      <c r="G7" s="196">
        <v>22</v>
      </c>
      <c r="H7" s="105"/>
      <c r="I7" s="196">
        <v>24</v>
      </c>
      <c r="J7" s="105"/>
      <c r="K7" s="196">
        <v>25</v>
      </c>
      <c r="L7" s="14"/>
      <c r="M7" s="31">
        <v>22</v>
      </c>
      <c r="N7" s="105"/>
      <c r="O7" s="196">
        <v>22</v>
      </c>
      <c r="P7" s="105"/>
      <c r="Q7" s="196">
        <v>26</v>
      </c>
      <c r="R7" s="34"/>
      <c r="S7" s="15"/>
      <c r="T7" s="34"/>
      <c r="U7" s="15"/>
      <c r="V7" s="34"/>
      <c r="W7" s="15">
        <v>266</v>
      </c>
      <c r="X7" s="34"/>
      <c r="Y7" s="15">
        <v>257</v>
      </c>
      <c r="Z7" s="35"/>
      <c r="AA7" s="15">
        <f>25+190</f>
        <v>215</v>
      </c>
      <c r="AB7" s="36" t="s">
        <v>3</v>
      </c>
      <c r="AC7" s="18">
        <f>7517/AM1+1</f>
        <v>187.34156257204407</v>
      </c>
      <c r="AD7" s="36" t="s">
        <v>3</v>
      </c>
      <c r="AE7" s="18">
        <f>10221/AM1</f>
        <v>253.371971670728</v>
      </c>
      <c r="AF7" s="36" t="s">
        <v>6</v>
      </c>
      <c r="AG7" s="18">
        <f>13264/AM1</f>
        <v>328.80597125922475</v>
      </c>
      <c r="AH7" s="36" t="s">
        <v>6</v>
      </c>
      <c r="AI7" s="18">
        <f>15670/AM1+1</f>
        <v>389.44915331966615</v>
      </c>
      <c r="AJ7" s="37" t="s">
        <v>6</v>
      </c>
      <c r="AK7" s="18">
        <f>22978/AM1</f>
        <v>569.6097412239495</v>
      </c>
      <c r="AL7" s="30" t="s">
        <v>6</v>
      </c>
    </row>
    <row r="8" spans="1:38" s="40" customFormat="1" ht="12.75">
      <c r="A8" s="38" t="s">
        <v>20</v>
      </c>
      <c r="B8" s="38" t="s">
        <v>21</v>
      </c>
      <c r="C8" s="38" t="s">
        <v>22</v>
      </c>
      <c r="D8" s="105"/>
      <c r="E8" s="196">
        <v>354</v>
      </c>
      <c r="F8" s="105"/>
      <c r="G8" s="196">
        <v>395</v>
      </c>
      <c r="H8" s="105"/>
      <c r="I8" s="196">
        <v>427</v>
      </c>
      <c r="J8" s="105"/>
      <c r="K8" s="196">
        <v>338</v>
      </c>
      <c r="L8" s="14"/>
      <c r="M8" s="31">
        <v>301</v>
      </c>
      <c r="N8" s="105"/>
      <c r="O8" s="196">
        <v>301</v>
      </c>
      <c r="P8" s="105"/>
      <c r="Q8" s="196">
        <v>303</v>
      </c>
      <c r="R8" s="39"/>
      <c r="T8" s="39"/>
      <c r="V8" s="39"/>
      <c r="W8" s="40">
        <v>392</v>
      </c>
      <c r="X8" s="39"/>
      <c r="Y8" s="40">
        <v>414</v>
      </c>
      <c r="Z8" s="41"/>
      <c r="AA8" s="40">
        <v>527</v>
      </c>
      <c r="AB8" s="42" t="s">
        <v>3</v>
      </c>
      <c r="AC8" s="42">
        <f>24308/AM1</f>
        <v>602.5795800187904</v>
      </c>
      <c r="AD8" s="42" t="s">
        <v>3</v>
      </c>
      <c r="AE8" s="42">
        <f>22554/AM1</f>
        <v>559.0990557735641</v>
      </c>
      <c r="AF8" s="42" t="s">
        <v>6</v>
      </c>
      <c r="AG8" s="42">
        <f>29104/AM1</f>
        <v>721.4693145000359</v>
      </c>
      <c r="AH8" s="42" t="s">
        <v>6</v>
      </c>
      <c r="AI8" s="42">
        <f>48989/AM1+1</f>
        <v>1215.4055885116225</v>
      </c>
      <c r="AJ8" s="38" t="s">
        <v>6</v>
      </c>
      <c r="AK8" s="42">
        <f>37124/AM1+1</f>
        <v>921.279921368174</v>
      </c>
      <c r="AL8" s="38" t="s">
        <v>6</v>
      </c>
    </row>
    <row r="9" spans="1:40" s="237" customFormat="1" ht="12.75">
      <c r="A9" s="113" t="s">
        <v>25</v>
      </c>
      <c r="B9" s="113" t="s">
        <v>26</v>
      </c>
      <c r="C9" s="113" t="s">
        <v>27</v>
      </c>
      <c r="D9" s="228"/>
      <c r="E9" s="231">
        <f>SUM(E2:E8)</f>
        <v>7040</v>
      </c>
      <c r="F9" s="228"/>
      <c r="G9" s="231">
        <f>SUM(G2:G8)</f>
        <v>7881</v>
      </c>
      <c r="H9" s="228"/>
      <c r="I9" s="231">
        <f>SUM(I2:I8)</f>
        <v>9037</v>
      </c>
      <c r="J9" s="228"/>
      <c r="K9" s="231">
        <f>SUM(K2:K8)</f>
        <v>9545</v>
      </c>
      <c r="L9" s="232"/>
      <c r="M9" s="141">
        <f>SUM(M2:M8)</f>
        <v>9554</v>
      </c>
      <c r="N9" s="228"/>
      <c r="O9" s="231">
        <f>SUM(O2:O8)</f>
        <v>9554</v>
      </c>
      <c r="P9" s="228"/>
      <c r="Q9" s="231">
        <f>SUM(Q2:Q8)</f>
        <v>9373</v>
      </c>
      <c r="R9" s="233"/>
      <c r="S9" s="116"/>
      <c r="T9" s="233"/>
      <c r="U9" s="116"/>
      <c r="V9" s="233"/>
      <c r="W9" s="116" t="e">
        <f>SUM(W3:W4:#REF!)-#REF!-#REF!</f>
        <v>#REF!</v>
      </c>
      <c r="X9" s="233"/>
      <c r="Y9" s="116" t="e">
        <f>SUM(Y3:Y4:#REF!)-#REF!-#REF!</f>
        <v>#REF!</v>
      </c>
      <c r="Z9" s="234"/>
      <c r="AA9" s="116" t="e">
        <f>SUM(AA3:AA4:#REF!)-#REF!-#REF!</f>
        <v>#REF!</v>
      </c>
      <c r="AB9" s="235" t="s">
        <v>3</v>
      </c>
      <c r="AC9" s="116" t="e">
        <f>SUM(AC3:AC4:#REF!)-#REF!-#REF!-1</f>
        <v>#REF!</v>
      </c>
      <c r="AD9" s="235" t="s">
        <v>3</v>
      </c>
      <c r="AE9" s="116">
        <f>SUM(AE4:AE8)</f>
        <v>3065.3273805834915</v>
      </c>
      <c r="AF9" s="235" t="s">
        <v>6</v>
      </c>
      <c r="AG9" s="116">
        <f>SUM(AG4:AG8)</f>
        <v>3345.174380700002</v>
      </c>
      <c r="AH9" s="235" t="s">
        <v>6</v>
      </c>
      <c r="AI9" s="116">
        <f>SUM(AI4:AI8)-2</f>
        <v>3035.728893725567</v>
      </c>
      <c r="AJ9" s="236" t="s">
        <v>6</v>
      </c>
      <c r="AK9" s="116">
        <f>SUM(AK4:AK8)-1</f>
        <v>2563.615675794933</v>
      </c>
      <c r="AL9" s="113" t="s">
        <v>6</v>
      </c>
      <c r="AM9" s="237">
        <f>236182/AM1</f>
        <v>5854.798846799323</v>
      </c>
      <c r="AN9" s="237">
        <f>214263/AM1</f>
        <v>5311.441029848859</v>
      </c>
    </row>
    <row r="10" spans="1:38" s="121" customFormat="1" ht="25.5">
      <c r="A10" s="118" t="s">
        <v>28</v>
      </c>
      <c r="B10" s="118" t="s">
        <v>29</v>
      </c>
      <c r="C10" s="118" t="s">
        <v>30</v>
      </c>
      <c r="D10" s="238"/>
      <c r="E10" s="198">
        <v>50.91</v>
      </c>
      <c r="F10" s="238"/>
      <c r="G10" s="198">
        <v>56.99</v>
      </c>
      <c r="H10" s="238"/>
      <c r="I10" s="198">
        <v>65.34</v>
      </c>
      <c r="J10" s="238"/>
      <c r="K10" s="198">
        <v>69.01</v>
      </c>
      <c r="L10" s="120"/>
      <c r="M10" s="142">
        <v>69.08</v>
      </c>
      <c r="N10" s="238"/>
      <c r="O10" s="198">
        <v>69.08</v>
      </c>
      <c r="P10" s="238"/>
      <c r="Q10" s="198">
        <v>67.77</v>
      </c>
      <c r="R10" s="120"/>
      <c r="S10" s="47"/>
      <c r="T10" s="120"/>
      <c r="U10" s="47"/>
      <c r="V10" s="120"/>
      <c r="W10" s="47">
        <v>289.33</v>
      </c>
      <c r="X10" s="120"/>
      <c r="Y10" s="47">
        <v>256.53</v>
      </c>
      <c r="Z10" s="239"/>
      <c r="AA10" s="47">
        <v>256.53</v>
      </c>
      <c r="AB10" s="47" t="s">
        <v>3</v>
      </c>
      <c r="AC10" s="47">
        <v>239.64</v>
      </c>
      <c r="AD10" s="47" t="s">
        <v>3</v>
      </c>
      <c r="AE10" s="47">
        <v>217.47</v>
      </c>
      <c r="AF10" s="47"/>
      <c r="AG10" s="47">
        <v>238.97</v>
      </c>
      <c r="AH10" s="47" t="s">
        <v>6</v>
      </c>
      <c r="AI10" s="47">
        <v>206.87</v>
      </c>
      <c r="AJ10" s="240" t="s">
        <v>6</v>
      </c>
      <c r="AK10" s="47">
        <v>178.36</v>
      </c>
      <c r="AL10" s="240" t="s">
        <v>6</v>
      </c>
    </row>
    <row r="11" spans="1:38" s="121" customFormat="1" ht="12.75">
      <c r="A11" s="118" t="s">
        <v>31</v>
      </c>
      <c r="B11" s="118" t="s">
        <v>32</v>
      </c>
      <c r="C11" s="118" t="s">
        <v>33</v>
      </c>
      <c r="D11" s="238"/>
      <c r="E11" s="199">
        <v>39.01</v>
      </c>
      <c r="F11" s="238"/>
      <c r="G11" s="199">
        <v>43.8</v>
      </c>
      <c r="H11" s="238"/>
      <c r="I11" s="199">
        <v>52.9</v>
      </c>
      <c r="J11" s="238"/>
      <c r="K11" s="199">
        <v>61.75</v>
      </c>
      <c r="L11" s="120"/>
      <c r="M11" s="118">
        <v>63.45</v>
      </c>
      <c r="N11" s="238"/>
      <c r="O11" s="199">
        <v>63.45</v>
      </c>
      <c r="P11" s="238"/>
      <c r="Q11" s="199">
        <v>59.05</v>
      </c>
      <c r="R11" s="120"/>
      <c r="T11" s="120"/>
      <c r="V11" s="120"/>
      <c r="W11" s="121">
        <v>186.9</v>
      </c>
      <c r="X11" s="120"/>
      <c r="Y11" s="121">
        <v>163.9</v>
      </c>
      <c r="Z11" s="239"/>
      <c r="AA11" s="121">
        <v>167.5</v>
      </c>
      <c r="AB11" s="142" t="s">
        <v>3</v>
      </c>
      <c r="AC11" s="142">
        <v>173.53</v>
      </c>
      <c r="AD11" s="142" t="s">
        <v>3</v>
      </c>
      <c r="AE11" s="142">
        <v>160.64</v>
      </c>
      <c r="AF11" s="47" t="s">
        <v>6</v>
      </c>
      <c r="AG11" s="47">
        <v>186.17</v>
      </c>
      <c r="AH11" s="47" t="s">
        <v>6</v>
      </c>
      <c r="AI11" s="47">
        <v>160.64</v>
      </c>
      <c r="AJ11" s="240" t="s">
        <v>6</v>
      </c>
      <c r="AK11" s="47">
        <v>132.87</v>
      </c>
      <c r="AL11" s="118" t="s">
        <v>6</v>
      </c>
    </row>
    <row r="12" spans="1:38" s="243" customFormat="1" ht="12.75">
      <c r="A12" s="126" t="s">
        <v>78</v>
      </c>
      <c r="B12" s="126" t="s">
        <v>79</v>
      </c>
      <c r="C12" s="126" t="s">
        <v>80</v>
      </c>
      <c r="D12" s="241"/>
      <c r="E12" s="197">
        <v>138300053</v>
      </c>
      <c r="F12" s="241"/>
      <c r="G12" s="197">
        <v>138300053</v>
      </c>
      <c r="H12" s="241"/>
      <c r="I12" s="197">
        <v>138300053</v>
      </c>
      <c r="J12" s="241"/>
      <c r="K12" s="197">
        <v>138300053</v>
      </c>
      <c r="L12" s="242"/>
      <c r="M12" s="143">
        <v>138300053</v>
      </c>
      <c r="N12" s="241"/>
      <c r="O12" s="197">
        <v>138300053</v>
      </c>
      <c r="P12" s="241"/>
      <c r="Q12" s="197">
        <v>138300053</v>
      </c>
      <c r="R12" s="127"/>
      <c r="S12" s="43"/>
      <c r="T12" s="127"/>
      <c r="U12" s="43"/>
      <c r="V12" s="127"/>
      <c r="W12" s="43">
        <v>24432025</v>
      </c>
      <c r="X12" s="127"/>
      <c r="Y12" s="43">
        <v>24432025</v>
      </c>
      <c r="Z12" s="239"/>
      <c r="AA12" s="43">
        <v>24432025</v>
      </c>
      <c r="AB12" s="47" t="s">
        <v>3</v>
      </c>
      <c r="AC12" s="43">
        <v>24432025</v>
      </c>
      <c r="AD12" s="47" t="s">
        <v>3</v>
      </c>
      <c r="AE12" s="43">
        <v>24458667</v>
      </c>
      <c r="AF12" s="47" t="s">
        <v>6</v>
      </c>
      <c r="AG12" s="43">
        <v>24402157</v>
      </c>
      <c r="AH12" s="47" t="s">
        <v>6</v>
      </c>
      <c r="AI12" s="43">
        <v>25783578</v>
      </c>
      <c r="AJ12" s="240" t="s">
        <v>6</v>
      </c>
      <c r="AK12" s="43">
        <v>25783578</v>
      </c>
      <c r="AL12" s="126" t="s">
        <v>6</v>
      </c>
    </row>
    <row r="14" spans="1:33" s="19" customFormat="1" ht="12.75" customHeight="1">
      <c r="A14"/>
      <c r="B14" s="57"/>
      <c r="C14" s="58"/>
      <c r="D14" s="107"/>
      <c r="E14" s="225"/>
      <c r="F14" s="107"/>
      <c r="G14" s="225"/>
      <c r="H14" s="107"/>
      <c r="I14" s="225"/>
      <c r="J14" s="107"/>
      <c r="K14" s="227"/>
      <c r="L14" s="57"/>
      <c r="M14" s="59"/>
      <c r="N14" s="107"/>
      <c r="O14" s="225"/>
      <c r="P14" s="107"/>
      <c r="Q14" s="227"/>
      <c r="R14" s="57"/>
      <c r="S14" s="60"/>
      <c r="T14" s="57"/>
      <c r="W14" s="36"/>
      <c r="X14" s="30"/>
      <c r="Y14" s="36"/>
      <c r="Z14" s="33"/>
      <c r="AA14" s="33"/>
      <c r="AB14" s="33"/>
      <c r="AC14" s="33"/>
      <c r="AD14" s="33"/>
      <c r="AE14" s="33"/>
      <c r="AF14" s="33"/>
      <c r="AG14" s="30"/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5"/>
  <sheetViews>
    <sheetView showGridLines="0" zoomScalePageLayoutView="0" workbookViewId="0" topLeftCell="A1">
      <selection activeCell="C45" sqref="C45"/>
    </sheetView>
  </sheetViews>
  <sheetFormatPr defaultColWidth="11.421875" defaultRowHeight="12.75"/>
  <cols>
    <col min="1" max="1" width="23.140625" style="0" customWidth="1"/>
    <col min="2" max="2" width="25.140625" style="0" customWidth="1"/>
    <col min="3" max="3" width="21.57421875" style="0" customWidth="1"/>
    <col min="4" max="4" width="11.57421875" style="191" customWidth="1"/>
    <col min="5" max="5" width="12.421875" style="203" customWidth="1"/>
    <col min="6" max="6" width="10.7109375" style="191" customWidth="1"/>
    <col min="7" max="7" width="11.421875" style="203" customWidth="1"/>
    <col min="8" max="8" width="11.421875" style="191" customWidth="1"/>
    <col min="9" max="9" width="12.7109375" style="203" customWidth="1"/>
    <col min="10" max="10" width="11.421875" style="191" customWidth="1"/>
    <col min="11" max="11" width="12.421875" style="203" customWidth="1"/>
    <col min="12" max="12" width="9.140625" style="73" hidden="1" customWidth="1"/>
    <col min="13" max="13" width="9.140625" style="72" hidden="1" customWidth="1"/>
    <col min="14" max="14" width="11.421875" style="191" customWidth="1"/>
    <col min="15" max="15" width="13.00390625" style="203" customWidth="1"/>
    <col min="16" max="16" width="11.421875" style="191" customWidth="1"/>
    <col min="17" max="17" width="12.421875" style="203" customWidth="1"/>
    <col min="18" max="18" width="11.421875" style="54" customWidth="1"/>
    <col min="19" max="19" width="12.28125" style="0" customWidth="1"/>
    <col min="20" max="20" width="11.421875" style="54" customWidth="1"/>
    <col min="21" max="21" width="11.421875" style="0" customWidth="1"/>
    <col min="22" max="22" width="9.140625" style="54" hidden="1" customWidth="1"/>
    <col min="23" max="23" width="9.140625" style="0" hidden="1" customWidth="1"/>
    <col min="24" max="24" width="9.140625" style="54" hidden="1" customWidth="1"/>
    <col min="25" max="25" width="9.140625" style="0" hidden="1" customWidth="1"/>
    <col min="26" max="26" width="11.57421875" style="55" hidden="1" customWidth="1"/>
    <col min="27" max="27" width="9.140625" style="0" hidden="1" customWidth="1"/>
    <col min="28" max="28" width="9.140625" style="55" hidden="1" customWidth="1"/>
    <col min="29" max="29" width="9.140625" style="0" hidden="1" customWidth="1"/>
    <col min="30" max="30" width="11.57421875" style="56" hidden="1" customWidth="1"/>
    <col min="31" max="33" width="9.140625" style="0" hidden="1" customWidth="1"/>
    <col min="34" max="37" width="11.421875" style="0" hidden="1" customWidth="1"/>
    <col min="38" max="38" width="11.421875" style="0" customWidth="1"/>
    <col min="39" max="40" width="9.140625" style="0" hidden="1" customWidth="1"/>
  </cols>
  <sheetData>
    <row r="1" spans="1:40" s="87" customFormat="1" ht="12.75">
      <c r="A1" s="79" t="s">
        <v>0</v>
      </c>
      <c r="B1" s="79" t="s">
        <v>1</v>
      </c>
      <c r="C1" s="79" t="s">
        <v>2</v>
      </c>
      <c r="D1" s="144"/>
      <c r="E1" s="192">
        <v>37986</v>
      </c>
      <c r="F1" s="144"/>
      <c r="G1" s="192">
        <v>37944</v>
      </c>
      <c r="H1" s="144"/>
      <c r="I1" s="192">
        <v>37867</v>
      </c>
      <c r="J1" s="144"/>
      <c r="K1" s="192">
        <v>37747</v>
      </c>
      <c r="L1" s="244"/>
      <c r="M1" s="145">
        <v>37705</v>
      </c>
      <c r="N1" s="144"/>
      <c r="O1" s="192">
        <v>37705</v>
      </c>
      <c r="P1" s="144"/>
      <c r="Q1" s="192">
        <v>37621</v>
      </c>
      <c r="R1" s="79"/>
      <c r="S1" s="79"/>
      <c r="T1" s="82"/>
      <c r="U1" s="81"/>
      <c r="V1" s="82"/>
      <c r="W1" s="81">
        <v>36420</v>
      </c>
      <c r="X1" s="82"/>
      <c r="Y1" s="81">
        <v>36341</v>
      </c>
      <c r="Z1" s="81"/>
      <c r="AA1" s="81">
        <v>36231</v>
      </c>
      <c r="AB1" s="81"/>
      <c r="AC1" s="81">
        <v>36160</v>
      </c>
      <c r="AD1" s="83"/>
      <c r="AE1" s="81">
        <v>36052</v>
      </c>
      <c r="AF1" s="84" t="s">
        <v>3</v>
      </c>
      <c r="AG1" s="85">
        <v>35976</v>
      </c>
      <c r="AH1" s="84" t="s">
        <v>3</v>
      </c>
      <c r="AI1" s="85">
        <v>35884</v>
      </c>
      <c r="AJ1" s="86" t="s">
        <v>3</v>
      </c>
      <c r="AK1" s="85">
        <v>35795</v>
      </c>
      <c r="AM1" s="87">
        <v>40.3399</v>
      </c>
      <c r="AN1" s="87">
        <v>6.55957</v>
      </c>
    </row>
    <row r="2" spans="1:37" s="11" customFormat="1" ht="12.75">
      <c r="A2" s="1" t="s">
        <v>65</v>
      </c>
      <c r="B2" s="1" t="str">
        <f aca="true" t="shared" si="0" ref="B2:B7">A2</f>
        <v>Bertelsmann (1)</v>
      </c>
      <c r="C2" s="1" t="str">
        <f aca="true" t="shared" si="1" ref="C2:C7">A2</f>
        <v>Bertelsmann (1)</v>
      </c>
      <c r="D2" s="149" t="s">
        <v>4</v>
      </c>
      <c r="E2" s="193">
        <v>1673</v>
      </c>
      <c r="F2" s="149" t="s">
        <v>4</v>
      </c>
      <c r="G2" s="193">
        <v>1642</v>
      </c>
      <c r="H2" s="149" t="s">
        <v>4</v>
      </c>
      <c r="I2" s="193">
        <v>1639</v>
      </c>
      <c r="J2" s="149" t="s">
        <v>4</v>
      </c>
      <c r="K2" s="193">
        <v>1578</v>
      </c>
      <c r="L2" s="245" t="s">
        <v>4</v>
      </c>
      <c r="M2" s="150">
        <v>1678</v>
      </c>
      <c r="N2" s="149" t="s">
        <v>4</v>
      </c>
      <c r="O2" s="193">
        <v>1678</v>
      </c>
      <c r="P2" s="149" t="s">
        <v>4</v>
      </c>
      <c r="Q2" s="193">
        <v>1678</v>
      </c>
      <c r="R2" s="5"/>
      <c r="S2" s="6"/>
      <c r="T2" s="5"/>
      <c r="U2" s="6"/>
      <c r="V2" s="5"/>
      <c r="W2" s="6"/>
      <c r="X2" s="5"/>
      <c r="Y2" s="6"/>
      <c r="Z2" s="6"/>
      <c r="AA2" s="6"/>
      <c r="AB2" s="6"/>
      <c r="AC2" s="6"/>
      <c r="AD2" s="7"/>
      <c r="AE2" s="6"/>
      <c r="AF2" s="8"/>
      <c r="AG2" s="9"/>
      <c r="AH2" s="8"/>
      <c r="AI2" s="9"/>
      <c r="AJ2" s="10"/>
      <c r="AK2" s="9"/>
    </row>
    <row r="3" spans="1:38" s="19" customFormat="1" ht="12.75">
      <c r="A3" s="12" t="s">
        <v>5</v>
      </c>
      <c r="B3" s="1" t="str">
        <f t="shared" si="0"/>
        <v>RTL Group</v>
      </c>
      <c r="C3" s="1" t="str">
        <f t="shared" si="1"/>
        <v>RTL Group</v>
      </c>
      <c r="D3" s="149" t="s">
        <v>4</v>
      </c>
      <c r="E3" s="194" t="s">
        <v>4</v>
      </c>
      <c r="F3" s="149" t="s">
        <v>4</v>
      </c>
      <c r="G3" s="194" t="s">
        <v>4</v>
      </c>
      <c r="H3" s="149" t="s">
        <v>4</v>
      </c>
      <c r="I3" s="194" t="s">
        <v>4</v>
      </c>
      <c r="J3" s="149" t="s">
        <v>4</v>
      </c>
      <c r="K3" s="194" t="s">
        <v>4</v>
      </c>
      <c r="L3" s="245" t="s">
        <v>4</v>
      </c>
      <c r="M3" s="153" t="s">
        <v>4</v>
      </c>
      <c r="N3" s="149" t="s">
        <v>4</v>
      </c>
      <c r="O3" s="194" t="s">
        <v>4</v>
      </c>
      <c r="P3" s="149" t="s">
        <v>4</v>
      </c>
      <c r="Q3" s="194" t="s">
        <v>4</v>
      </c>
      <c r="R3" s="14"/>
      <c r="S3" s="15"/>
      <c r="T3" s="14"/>
      <c r="U3" s="15"/>
      <c r="V3" s="14">
        <v>48.35</v>
      </c>
      <c r="W3" s="15">
        <v>1302</v>
      </c>
      <c r="X3" s="14">
        <v>46.55</v>
      </c>
      <c r="Y3" s="15">
        <v>1242</v>
      </c>
      <c r="Z3" s="16">
        <v>37.45</v>
      </c>
      <c r="AA3" s="15">
        <v>991</v>
      </c>
      <c r="AB3" s="17">
        <f>1550/AM1</f>
        <v>38.42349633985211</v>
      </c>
      <c r="AC3" s="18">
        <f>40072/AM1</f>
        <v>993.3589324713249</v>
      </c>
      <c r="AD3" s="17">
        <f>1498/AM1</f>
        <v>37.13445001103126</v>
      </c>
      <c r="AE3" s="18">
        <f>38499/AM1</f>
        <v>954.3652810244944</v>
      </c>
      <c r="AF3" s="17">
        <f>1520/AM1</f>
        <v>37.67981576553239</v>
      </c>
      <c r="AG3" s="18">
        <f>38837/AM1</f>
        <v>962.7440821618299</v>
      </c>
      <c r="AH3" s="17">
        <f>1510/AM1</f>
        <v>37.43192224075915</v>
      </c>
      <c r="AI3" s="18">
        <f>26966/AM1</f>
        <v>668.4696789035173</v>
      </c>
      <c r="AJ3" s="4">
        <f>1510/AM1</f>
        <v>37.43192224075915</v>
      </c>
      <c r="AK3" s="18">
        <f>25184/AM1</f>
        <v>624.2950527889261</v>
      </c>
      <c r="AL3" s="12" t="s">
        <v>6</v>
      </c>
    </row>
    <row r="4" spans="1:38" s="19" customFormat="1" ht="12.75">
      <c r="A4" s="30" t="s">
        <v>83</v>
      </c>
      <c r="B4" s="1" t="str">
        <f t="shared" si="0"/>
        <v>Total</v>
      </c>
      <c r="C4" s="30" t="str">
        <f t="shared" si="1"/>
        <v>Total</v>
      </c>
      <c r="D4" s="155">
        <v>147.4</v>
      </c>
      <c r="E4" s="196">
        <v>3462</v>
      </c>
      <c r="F4" s="155">
        <v>132</v>
      </c>
      <c r="G4" s="196">
        <v>3100</v>
      </c>
      <c r="H4" s="155">
        <v>143</v>
      </c>
      <c r="I4" s="196">
        <v>3358</v>
      </c>
      <c r="J4" s="155">
        <v>125.9</v>
      </c>
      <c r="K4" s="196">
        <v>2957</v>
      </c>
      <c r="L4" s="157">
        <v>121.7</v>
      </c>
      <c r="M4" s="163">
        <v>2858</v>
      </c>
      <c r="N4" s="155">
        <v>121.7</v>
      </c>
      <c r="O4" s="196">
        <v>2858</v>
      </c>
      <c r="P4" s="155">
        <v>136.1</v>
      </c>
      <c r="Q4" s="196">
        <v>3196</v>
      </c>
      <c r="R4" s="14"/>
      <c r="S4" s="15"/>
      <c r="T4" s="14"/>
      <c r="U4" s="15"/>
      <c r="V4" s="14">
        <v>120.9</v>
      </c>
      <c r="W4" s="15">
        <v>2351</v>
      </c>
      <c r="X4" s="14">
        <v>125.1</v>
      </c>
      <c r="Y4" s="15">
        <v>2399</v>
      </c>
      <c r="Z4" s="32">
        <f>460.3/4.5</f>
        <v>102.28888888888889</v>
      </c>
      <c r="AA4" s="15">
        <v>1921</v>
      </c>
      <c r="AB4" s="17">
        <v>86.76</v>
      </c>
      <c r="AC4" s="18">
        <v>1590</v>
      </c>
      <c r="AD4" s="17" t="e">
        <f>12875/(#REF!*4.5)</f>
        <v>#REF!</v>
      </c>
      <c r="AE4" s="18" t="e">
        <f>52109/#REF!</f>
        <v>#REF!</v>
      </c>
      <c r="AF4" s="17" t="e">
        <f>15275/(#REF!*4.5)</f>
        <v>#REF!</v>
      </c>
      <c r="AG4" s="18" t="e">
        <f>61445/#REF!</f>
        <v>#REF!</v>
      </c>
      <c r="AH4" s="17" t="e">
        <f>13950/#REF!</f>
        <v>#REF!</v>
      </c>
      <c r="AI4" s="18" t="e">
        <f>38455/#REF!</f>
        <v>#REF!</v>
      </c>
      <c r="AJ4" s="4" t="e">
        <f>13675/#REF!</f>
        <v>#REF!</v>
      </c>
      <c r="AK4" s="18" t="e">
        <f>35072/#REF!</f>
        <v>#REF!</v>
      </c>
      <c r="AL4" s="30" t="s">
        <v>6</v>
      </c>
    </row>
    <row r="5" spans="1:38" s="19" customFormat="1" ht="12.75">
      <c r="A5" s="30" t="s">
        <v>77</v>
      </c>
      <c r="B5" s="1" t="str">
        <f t="shared" si="0"/>
        <v>Suez </v>
      </c>
      <c r="C5" s="30" t="str">
        <f t="shared" si="1"/>
        <v>Suez </v>
      </c>
      <c r="D5" s="155">
        <v>15.93</v>
      </c>
      <c r="E5" s="196">
        <v>1154</v>
      </c>
      <c r="F5" s="155">
        <v>13.72</v>
      </c>
      <c r="G5" s="196">
        <v>994</v>
      </c>
      <c r="H5" s="155">
        <v>15.4</v>
      </c>
      <c r="I5" s="196">
        <v>1116</v>
      </c>
      <c r="J5" s="155">
        <v>14.89</v>
      </c>
      <c r="K5" s="196">
        <v>1079</v>
      </c>
      <c r="L5" s="157">
        <v>11.4</v>
      </c>
      <c r="M5" s="163">
        <v>826</v>
      </c>
      <c r="N5" s="155">
        <v>11.4</v>
      </c>
      <c r="O5" s="196">
        <v>826</v>
      </c>
      <c r="P5" s="155">
        <v>16.54</v>
      </c>
      <c r="Q5" s="196">
        <v>1198</v>
      </c>
      <c r="R5" s="14"/>
      <c r="S5" s="18"/>
      <c r="T5" s="14"/>
      <c r="U5" s="18"/>
      <c r="V5" s="14">
        <v>159.9</v>
      </c>
      <c r="W5" s="18">
        <v>2134</v>
      </c>
      <c r="X5" s="14">
        <v>174.9</v>
      </c>
      <c r="Y5" s="18">
        <v>2278</v>
      </c>
      <c r="Z5" s="17">
        <v>173.2</v>
      </c>
      <c r="AA5" s="18">
        <v>2197</v>
      </c>
      <c r="AB5" s="17">
        <f>1148/AN1</f>
        <v>175.0114717885471</v>
      </c>
      <c r="AC5" s="18">
        <f>85728/AM1</f>
        <v>2125.1416091760266</v>
      </c>
      <c r="AD5" s="17">
        <f>1029/AN1</f>
        <v>156.8700387372953</v>
      </c>
      <c r="AE5" s="18">
        <f>76396/AM1</f>
        <v>1893.8073718576397</v>
      </c>
      <c r="AF5" s="17">
        <f>995/AN1</f>
        <v>151.68677215122332</v>
      </c>
      <c r="AG5" s="18">
        <f>73440/AM1</f>
        <v>1820.5300459346702</v>
      </c>
      <c r="AH5" s="17">
        <f>889/AN1</f>
        <v>135.52717632405782</v>
      </c>
      <c r="AI5" s="18">
        <f>41140/AM1</f>
        <v>1019.8339609171069</v>
      </c>
      <c r="AJ5" s="4">
        <f>666/AN1</f>
        <v>101.53104548011531</v>
      </c>
      <c r="AK5" s="18">
        <f>28071/AM1</f>
        <v>695.8619133909604</v>
      </c>
      <c r="AL5" s="30" t="s">
        <v>6</v>
      </c>
    </row>
    <row r="6" spans="1:38" s="19" customFormat="1" ht="12.75">
      <c r="A6" s="30" t="s">
        <v>14</v>
      </c>
      <c r="B6" s="1" t="str">
        <f t="shared" si="0"/>
        <v>Imerys</v>
      </c>
      <c r="C6" s="30" t="str">
        <f t="shared" si="1"/>
        <v>Imerys</v>
      </c>
      <c r="D6" s="155">
        <v>166.9</v>
      </c>
      <c r="E6" s="196">
        <v>699</v>
      </c>
      <c r="F6" s="155">
        <v>156.9</v>
      </c>
      <c r="G6" s="196">
        <v>657</v>
      </c>
      <c r="H6" s="155">
        <v>152</v>
      </c>
      <c r="I6" s="196">
        <v>636</v>
      </c>
      <c r="J6" s="155">
        <v>126.9</v>
      </c>
      <c r="K6" s="196">
        <v>531</v>
      </c>
      <c r="L6" s="157">
        <v>110</v>
      </c>
      <c r="M6" s="163">
        <v>460</v>
      </c>
      <c r="N6" s="155">
        <v>110</v>
      </c>
      <c r="O6" s="196">
        <v>460</v>
      </c>
      <c r="P6" s="155">
        <v>120.4</v>
      </c>
      <c r="Q6" s="196">
        <v>504</v>
      </c>
      <c r="R6" s="14"/>
      <c r="S6" s="15"/>
      <c r="T6" s="14"/>
      <c r="U6" s="15"/>
      <c r="V6" s="14">
        <v>149.1</v>
      </c>
      <c r="W6" s="15">
        <v>624</v>
      </c>
      <c r="X6" s="14">
        <v>144</v>
      </c>
      <c r="Y6" s="15">
        <v>603</v>
      </c>
      <c r="Z6" s="16">
        <v>99.6</v>
      </c>
      <c r="AA6" s="15">
        <v>417</v>
      </c>
      <c r="AB6" s="17">
        <f>560/AN1</f>
        <v>85.37144965294982</v>
      </c>
      <c r="AC6" s="18">
        <f>14416/AM1</f>
        <v>357.36330531310193</v>
      </c>
      <c r="AD6" s="17">
        <f>563/AN1</f>
        <v>85.82879670466204</v>
      </c>
      <c r="AE6" s="18">
        <f>14484/AM1</f>
        <v>359.0489812815599</v>
      </c>
      <c r="AF6" s="17">
        <f>831/AN1</f>
        <v>126.68513332428803</v>
      </c>
      <c r="AG6" s="18">
        <f>19136/AM1</f>
        <v>474.3690490060709</v>
      </c>
      <c r="AH6" s="17">
        <f>818/AN1</f>
        <v>124.7032961002017</v>
      </c>
      <c r="AI6" s="18">
        <f>16662/AM1</f>
        <v>413.0401909771715</v>
      </c>
      <c r="AJ6" s="4">
        <f>748/AN1</f>
        <v>114.03186489358296</v>
      </c>
      <c r="AK6" s="18">
        <f>15243/AM1</f>
        <v>377.8640998118488</v>
      </c>
      <c r="AL6" s="30" t="s">
        <v>6</v>
      </c>
    </row>
    <row r="7" spans="1:38" s="19" customFormat="1" ht="12.75">
      <c r="A7" s="30" t="s">
        <v>15</v>
      </c>
      <c r="B7" s="1" t="str">
        <f t="shared" si="0"/>
        <v>Rhodia</v>
      </c>
      <c r="C7" s="30" t="str">
        <f t="shared" si="1"/>
        <v>Rhodia</v>
      </c>
      <c r="D7" s="155">
        <v>3.55</v>
      </c>
      <c r="E7" s="196">
        <v>31</v>
      </c>
      <c r="F7" s="155">
        <v>4.32</v>
      </c>
      <c r="G7" s="196">
        <v>41</v>
      </c>
      <c r="H7" s="155">
        <v>6.75</v>
      </c>
      <c r="I7" s="196">
        <v>64</v>
      </c>
      <c r="J7" s="155">
        <v>5.93</v>
      </c>
      <c r="K7" s="196">
        <v>57</v>
      </c>
      <c r="L7" s="157">
        <v>5.47</v>
      </c>
      <c r="M7" s="163">
        <v>52</v>
      </c>
      <c r="N7" s="155">
        <v>5.47</v>
      </c>
      <c r="O7" s="196">
        <v>52</v>
      </c>
      <c r="P7" s="155">
        <v>7.89</v>
      </c>
      <c r="Q7" s="196">
        <v>75</v>
      </c>
      <c r="R7" s="14"/>
      <c r="S7" s="33"/>
      <c r="T7" s="14"/>
      <c r="U7" s="33"/>
      <c r="V7" s="33"/>
      <c r="W7" s="33" t="s">
        <v>16</v>
      </c>
      <c r="X7" s="34"/>
      <c r="Y7" s="33" t="s">
        <v>16</v>
      </c>
      <c r="Z7" s="35"/>
      <c r="AA7" s="33" t="s">
        <v>16</v>
      </c>
      <c r="AB7" s="36"/>
      <c r="AC7" s="33" t="s">
        <v>16</v>
      </c>
      <c r="AD7" s="36"/>
      <c r="AE7" s="33"/>
      <c r="AF7" s="36"/>
      <c r="AG7" s="33"/>
      <c r="AH7" s="36"/>
      <c r="AI7" s="18"/>
      <c r="AJ7" s="37"/>
      <c r="AK7" s="18"/>
      <c r="AL7" s="30"/>
    </row>
    <row r="8" spans="1:38" s="19" customFormat="1" ht="12.75">
      <c r="A8" s="30" t="s">
        <v>17</v>
      </c>
      <c r="B8" s="30" t="s">
        <v>18</v>
      </c>
      <c r="C8" s="30" t="s">
        <v>19</v>
      </c>
      <c r="D8" s="155"/>
      <c r="E8" s="196">
        <v>33</v>
      </c>
      <c r="F8" s="155"/>
      <c r="G8" s="196">
        <v>34</v>
      </c>
      <c r="H8" s="155"/>
      <c r="I8" s="196">
        <v>34</v>
      </c>
      <c r="J8" s="155"/>
      <c r="K8" s="196">
        <v>35</v>
      </c>
      <c r="L8" s="157"/>
      <c r="M8" s="163">
        <v>36</v>
      </c>
      <c r="N8" s="155"/>
      <c r="O8" s="196">
        <v>36</v>
      </c>
      <c r="P8" s="155"/>
      <c r="Q8" s="196">
        <v>35</v>
      </c>
      <c r="R8" s="34"/>
      <c r="S8" s="15"/>
      <c r="T8" s="34"/>
      <c r="U8" s="15"/>
      <c r="V8" s="34"/>
      <c r="W8" s="15">
        <v>266</v>
      </c>
      <c r="X8" s="34"/>
      <c r="Y8" s="15">
        <v>257</v>
      </c>
      <c r="Z8" s="35"/>
      <c r="AA8" s="15">
        <f>25+190</f>
        <v>215</v>
      </c>
      <c r="AB8" s="36" t="s">
        <v>3</v>
      </c>
      <c r="AC8" s="18">
        <f>7517/AM1+1</f>
        <v>187.34156257204407</v>
      </c>
      <c r="AD8" s="36" t="s">
        <v>3</v>
      </c>
      <c r="AE8" s="18">
        <f>10221/AM1</f>
        <v>253.371971670728</v>
      </c>
      <c r="AF8" s="36" t="s">
        <v>6</v>
      </c>
      <c r="AG8" s="18">
        <f>13264/AM1</f>
        <v>328.80597125922475</v>
      </c>
      <c r="AH8" s="36" t="s">
        <v>6</v>
      </c>
      <c r="AI8" s="18">
        <f>15670/AM1+1</f>
        <v>389.44915331966615</v>
      </c>
      <c r="AJ8" s="37" t="s">
        <v>6</v>
      </c>
      <c r="AK8" s="18">
        <f>22978/AM1</f>
        <v>569.6097412239495</v>
      </c>
      <c r="AL8" s="30" t="s">
        <v>6</v>
      </c>
    </row>
    <row r="9" spans="1:38" s="40" customFormat="1" ht="12.75">
      <c r="A9" s="38" t="s">
        <v>20</v>
      </c>
      <c r="B9" s="38" t="s">
        <v>21</v>
      </c>
      <c r="C9" s="38" t="s">
        <v>22</v>
      </c>
      <c r="D9" s="155"/>
      <c r="E9" s="196">
        <v>476</v>
      </c>
      <c r="F9" s="155"/>
      <c r="G9" s="196">
        <v>462</v>
      </c>
      <c r="H9" s="155"/>
      <c r="I9" s="196">
        <v>448</v>
      </c>
      <c r="J9" s="155"/>
      <c r="K9" s="196">
        <v>396</v>
      </c>
      <c r="L9" s="157"/>
      <c r="M9" s="163">
        <v>328</v>
      </c>
      <c r="N9" s="155"/>
      <c r="O9" s="196">
        <v>328</v>
      </c>
      <c r="P9" s="155"/>
      <c r="Q9" s="196">
        <v>354</v>
      </c>
      <c r="R9" s="39"/>
      <c r="T9" s="39"/>
      <c r="V9" s="39"/>
      <c r="W9" s="40">
        <v>392</v>
      </c>
      <c r="X9" s="39"/>
      <c r="Y9" s="40">
        <v>414</v>
      </c>
      <c r="Z9" s="41"/>
      <c r="AA9" s="40">
        <v>527</v>
      </c>
      <c r="AB9" s="42" t="s">
        <v>3</v>
      </c>
      <c r="AC9" s="42">
        <f>24308/AM1</f>
        <v>602.5795800187904</v>
      </c>
      <c r="AD9" s="42" t="s">
        <v>3</v>
      </c>
      <c r="AE9" s="42">
        <f>22554/AM1</f>
        <v>559.0990557735641</v>
      </c>
      <c r="AF9" s="42" t="s">
        <v>6</v>
      </c>
      <c r="AG9" s="42">
        <f>29104/AM1</f>
        <v>721.4693145000359</v>
      </c>
      <c r="AH9" s="42" t="s">
        <v>6</v>
      </c>
      <c r="AI9" s="42">
        <f>48989/AM1+1</f>
        <v>1215.4055885116225</v>
      </c>
      <c r="AJ9" s="38" t="s">
        <v>6</v>
      </c>
      <c r="AK9" s="42">
        <f>37124/AM1+1</f>
        <v>921.279921368174</v>
      </c>
      <c r="AL9" s="38" t="s">
        <v>6</v>
      </c>
    </row>
    <row r="10" spans="1:40" s="140" customFormat="1" ht="12.75">
      <c r="A10" s="113" t="s">
        <v>25</v>
      </c>
      <c r="B10" s="113" t="s">
        <v>26</v>
      </c>
      <c r="C10" s="113" t="s">
        <v>27</v>
      </c>
      <c r="D10" s="228"/>
      <c r="E10" s="231">
        <f>SUM(E2:E9)</f>
        <v>7528</v>
      </c>
      <c r="F10" s="228"/>
      <c r="G10" s="231">
        <f>SUM(G2:G9)</f>
        <v>6930</v>
      </c>
      <c r="H10" s="228"/>
      <c r="I10" s="231">
        <f>SUM(I2:I9)</f>
        <v>7295</v>
      </c>
      <c r="J10" s="228"/>
      <c r="K10" s="231">
        <f>SUM(K2:K9)</f>
        <v>6633</v>
      </c>
      <c r="L10" s="232"/>
      <c r="M10" s="141">
        <f>SUM(M2:M9)</f>
        <v>6238</v>
      </c>
      <c r="N10" s="228"/>
      <c r="O10" s="231">
        <f>SUM(O2:O9)</f>
        <v>6238</v>
      </c>
      <c r="P10" s="228"/>
      <c r="Q10" s="231">
        <f>SUM(Q2:Q9)</f>
        <v>7040</v>
      </c>
      <c r="R10" s="137"/>
      <c r="S10" s="99"/>
      <c r="T10" s="137"/>
      <c r="U10" s="99"/>
      <c r="V10" s="137"/>
      <c r="W10" s="99" t="e">
        <f>SUM(W3:W5:#REF!)-#REF!-#REF!</f>
        <v>#REF!</v>
      </c>
      <c r="X10" s="137"/>
      <c r="Y10" s="99" t="e">
        <f>SUM(Y3:Y5:#REF!)-#REF!-#REF!</f>
        <v>#REF!</v>
      </c>
      <c r="Z10" s="138"/>
      <c r="AA10" s="99" t="e">
        <f>SUM(AA3:AA5:#REF!)-#REF!-#REF!</f>
        <v>#REF!</v>
      </c>
      <c r="AB10" s="100" t="s">
        <v>3</v>
      </c>
      <c r="AC10" s="99" t="e">
        <f>SUM(AC3:AC5:#REF!)-#REF!-#REF!-1</f>
        <v>#REF!</v>
      </c>
      <c r="AD10" s="100" t="s">
        <v>3</v>
      </c>
      <c r="AE10" s="99">
        <f>SUM(AE5:AE9)</f>
        <v>3065.3273805834915</v>
      </c>
      <c r="AF10" s="100" t="s">
        <v>6</v>
      </c>
      <c r="AG10" s="99">
        <f>SUM(AG5:AG9)</f>
        <v>3345.174380700002</v>
      </c>
      <c r="AH10" s="100" t="s">
        <v>6</v>
      </c>
      <c r="AI10" s="116">
        <f>SUM(AI5:AI9)-2</f>
        <v>3035.728893725567</v>
      </c>
      <c r="AJ10" s="139" t="s">
        <v>6</v>
      </c>
      <c r="AK10" s="116">
        <f>SUM(AK5:AK9)-1</f>
        <v>2563.615675794933</v>
      </c>
      <c r="AL10" s="97" t="s">
        <v>6</v>
      </c>
      <c r="AM10" s="140">
        <f>236182/AM1</f>
        <v>5854.798846799323</v>
      </c>
      <c r="AN10" s="140">
        <f>214263/AM1</f>
        <v>5311.441029848859</v>
      </c>
    </row>
    <row r="11" spans="1:38" s="48" customFormat="1" ht="25.5" customHeight="1">
      <c r="A11" s="118" t="s">
        <v>28</v>
      </c>
      <c r="B11" s="118" t="s">
        <v>29</v>
      </c>
      <c r="C11" s="118" t="s">
        <v>30</v>
      </c>
      <c r="D11" s="174"/>
      <c r="E11" s="198">
        <v>54.43</v>
      </c>
      <c r="F11" s="174"/>
      <c r="G11" s="198">
        <v>50.11</v>
      </c>
      <c r="H11" s="174"/>
      <c r="I11" s="198">
        <v>52.75</v>
      </c>
      <c r="J11" s="174"/>
      <c r="K11" s="198">
        <v>47.96</v>
      </c>
      <c r="L11" s="177"/>
      <c r="M11" s="175">
        <v>45.1</v>
      </c>
      <c r="N11" s="174"/>
      <c r="O11" s="198">
        <v>45.1</v>
      </c>
      <c r="P11" s="174"/>
      <c r="Q11" s="198">
        <v>50.91</v>
      </c>
      <c r="R11" s="45"/>
      <c r="S11" s="36"/>
      <c r="T11" s="45"/>
      <c r="U11" s="36"/>
      <c r="V11" s="45"/>
      <c r="W11" s="36">
        <v>289.33</v>
      </c>
      <c r="X11" s="45"/>
      <c r="Y11" s="36">
        <v>256.53</v>
      </c>
      <c r="Z11" s="35"/>
      <c r="AA11" s="36">
        <v>256.53</v>
      </c>
      <c r="AB11" s="36" t="s">
        <v>3</v>
      </c>
      <c r="AC11" s="36">
        <v>239.64</v>
      </c>
      <c r="AD11" s="36" t="s">
        <v>3</v>
      </c>
      <c r="AE11" s="36">
        <v>217.47</v>
      </c>
      <c r="AF11" s="47"/>
      <c r="AG11" s="36">
        <v>238.97</v>
      </c>
      <c r="AH11" s="36" t="s">
        <v>6</v>
      </c>
      <c r="AI11" s="47">
        <v>206.87</v>
      </c>
      <c r="AJ11" s="37" t="s">
        <v>6</v>
      </c>
      <c r="AK11" s="47">
        <v>178.36</v>
      </c>
      <c r="AL11" s="37" t="s">
        <v>6</v>
      </c>
    </row>
    <row r="12" spans="1:38" s="48" customFormat="1" ht="12.75">
      <c r="A12" s="118" t="s">
        <v>31</v>
      </c>
      <c r="B12" s="118" t="s">
        <v>32</v>
      </c>
      <c r="C12" s="118" t="s">
        <v>33</v>
      </c>
      <c r="D12" s="174"/>
      <c r="E12" s="199">
        <v>44.67</v>
      </c>
      <c r="F12" s="174"/>
      <c r="G12" s="199">
        <v>41.48</v>
      </c>
      <c r="H12" s="174"/>
      <c r="I12" s="199">
        <v>42.8</v>
      </c>
      <c r="J12" s="174"/>
      <c r="K12" s="199">
        <v>38.04</v>
      </c>
      <c r="L12" s="177"/>
      <c r="M12" s="178">
        <v>33.7</v>
      </c>
      <c r="N12" s="174"/>
      <c r="O12" s="199">
        <v>33.7</v>
      </c>
      <c r="P12" s="174"/>
      <c r="Q12" s="199">
        <v>39.01</v>
      </c>
      <c r="R12" s="45"/>
      <c r="T12" s="45"/>
      <c r="V12" s="45"/>
      <c r="W12" s="48">
        <v>186.9</v>
      </c>
      <c r="X12" s="45"/>
      <c r="Y12" s="48">
        <v>163.9</v>
      </c>
      <c r="Z12" s="35"/>
      <c r="AA12" s="48">
        <v>167.5</v>
      </c>
      <c r="AB12" s="46" t="s">
        <v>3</v>
      </c>
      <c r="AC12" s="46">
        <v>173.53</v>
      </c>
      <c r="AD12" s="46" t="s">
        <v>3</v>
      </c>
      <c r="AE12" s="46">
        <v>160.64</v>
      </c>
      <c r="AF12" s="36" t="s">
        <v>6</v>
      </c>
      <c r="AG12" s="36">
        <v>186.17</v>
      </c>
      <c r="AH12" s="36" t="s">
        <v>6</v>
      </c>
      <c r="AI12" s="36">
        <v>160.64</v>
      </c>
      <c r="AJ12" s="37" t="s">
        <v>6</v>
      </c>
      <c r="AK12" s="36">
        <v>132.87</v>
      </c>
      <c r="AL12" s="44" t="s">
        <v>6</v>
      </c>
    </row>
    <row r="13" spans="1:38" s="19" customFormat="1" ht="25.5">
      <c r="A13" s="126" t="s">
        <v>78</v>
      </c>
      <c r="B13" s="126" t="s">
        <v>82</v>
      </c>
      <c r="C13" s="126" t="s">
        <v>81</v>
      </c>
      <c r="D13" s="171"/>
      <c r="E13" s="197">
        <v>138300053</v>
      </c>
      <c r="F13" s="171"/>
      <c r="G13" s="197">
        <v>138300053</v>
      </c>
      <c r="H13" s="171"/>
      <c r="I13" s="197">
        <v>138300053</v>
      </c>
      <c r="J13" s="171"/>
      <c r="K13" s="197">
        <v>138300053</v>
      </c>
      <c r="L13" s="246"/>
      <c r="M13" s="172">
        <v>138300053</v>
      </c>
      <c r="N13" s="171"/>
      <c r="O13" s="197">
        <v>138300053</v>
      </c>
      <c r="P13" s="171"/>
      <c r="Q13" s="197">
        <v>138300053</v>
      </c>
      <c r="R13" s="34"/>
      <c r="S13" s="18"/>
      <c r="T13" s="34"/>
      <c r="U13" s="18"/>
      <c r="V13" s="34"/>
      <c r="W13" s="18">
        <v>24432025</v>
      </c>
      <c r="X13" s="34"/>
      <c r="Y13" s="18">
        <v>24432025</v>
      </c>
      <c r="Z13" s="35"/>
      <c r="AA13" s="18">
        <v>24432025</v>
      </c>
      <c r="AB13" s="36" t="s">
        <v>3</v>
      </c>
      <c r="AC13" s="18">
        <v>24432025</v>
      </c>
      <c r="AD13" s="36" t="s">
        <v>3</v>
      </c>
      <c r="AE13" s="18">
        <v>24458667</v>
      </c>
      <c r="AF13" s="36" t="s">
        <v>6</v>
      </c>
      <c r="AG13" s="18">
        <v>24402157</v>
      </c>
      <c r="AH13" s="36" t="s">
        <v>6</v>
      </c>
      <c r="AI13" s="18">
        <v>25783578</v>
      </c>
      <c r="AJ13" s="37" t="s">
        <v>6</v>
      </c>
      <c r="AK13" s="18">
        <v>25783578</v>
      </c>
      <c r="AL13" s="30" t="s">
        <v>6</v>
      </c>
    </row>
    <row r="15" spans="1:33" s="19" customFormat="1" ht="12.75" customHeight="1">
      <c r="A15"/>
      <c r="B15" s="57"/>
      <c r="C15" s="58"/>
      <c r="D15" s="224"/>
      <c r="E15" s="225"/>
      <c r="F15" s="224"/>
      <c r="G15" s="225"/>
      <c r="H15" s="224"/>
      <c r="I15" s="225"/>
      <c r="J15" s="224"/>
      <c r="K15" s="227"/>
      <c r="L15" s="75"/>
      <c r="M15" s="76"/>
      <c r="N15" s="224"/>
      <c r="O15" s="225"/>
      <c r="P15" s="224"/>
      <c r="Q15" s="227"/>
      <c r="R15" s="57"/>
      <c r="S15" s="60"/>
      <c r="T15" s="57"/>
      <c r="W15" s="36"/>
      <c r="X15" s="30"/>
      <c r="Y15" s="36"/>
      <c r="Z15" s="33"/>
      <c r="AA15" s="33"/>
      <c r="AB15" s="33"/>
      <c r="AC15" s="33"/>
      <c r="AD15" s="33"/>
      <c r="AE15" s="33"/>
      <c r="AF15" s="33"/>
      <c r="AG15" s="30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1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4"/>
  <sheetViews>
    <sheetView showGridLines="0" zoomScalePageLayoutView="0" workbookViewId="0" topLeftCell="A1">
      <selection activeCell="C45" sqref="C45"/>
    </sheetView>
  </sheetViews>
  <sheetFormatPr defaultColWidth="11.421875" defaultRowHeight="12.75"/>
  <cols>
    <col min="1" max="1" width="25.140625" style="0" customWidth="1"/>
    <col min="2" max="2" width="30.140625" style="0" customWidth="1"/>
    <col min="3" max="3" width="23.140625" style="0" customWidth="1"/>
    <col min="4" max="4" width="11.57421875" style="191" customWidth="1"/>
    <col min="5" max="5" width="12.421875" style="203" customWidth="1"/>
    <col min="6" max="6" width="10.7109375" style="191" customWidth="1"/>
    <col min="7" max="7" width="11.421875" style="203" customWidth="1"/>
    <col min="8" max="8" width="11.421875" style="191" customWidth="1"/>
    <col min="9" max="9" width="12.7109375" style="203" customWidth="1"/>
    <col min="10" max="10" width="11.421875" style="191" customWidth="1"/>
    <col min="11" max="11" width="12.421875" style="203" customWidth="1"/>
    <col min="12" max="12" width="9.140625" style="73" hidden="1" customWidth="1"/>
    <col min="13" max="13" width="9.140625" style="72" hidden="1" customWidth="1"/>
    <col min="14" max="14" width="11.421875" style="191" customWidth="1"/>
    <col min="15" max="15" width="13.00390625" style="203" customWidth="1"/>
    <col min="16" max="16" width="11.421875" style="191" customWidth="1"/>
    <col min="17" max="17" width="12.421875" style="203" customWidth="1"/>
    <col min="18" max="18" width="11.421875" style="54" customWidth="1"/>
    <col min="19" max="19" width="12.28125" style="0" customWidth="1"/>
    <col min="20" max="20" width="11.421875" style="54" customWidth="1"/>
    <col min="21" max="21" width="11.421875" style="0" customWidth="1"/>
    <col min="22" max="22" width="9.140625" style="54" hidden="1" customWidth="1"/>
    <col min="23" max="23" width="9.140625" style="0" hidden="1" customWidth="1"/>
    <col min="24" max="24" width="9.140625" style="54" hidden="1" customWidth="1"/>
    <col min="25" max="25" width="9.140625" style="0" hidden="1" customWidth="1"/>
    <col min="26" max="26" width="11.57421875" style="55" hidden="1" customWidth="1"/>
    <col min="27" max="27" width="9.140625" style="0" hidden="1" customWidth="1"/>
    <col min="28" max="28" width="9.140625" style="55" hidden="1" customWidth="1"/>
    <col min="29" max="29" width="9.140625" style="0" hidden="1" customWidth="1"/>
    <col min="30" max="30" width="11.57421875" style="56" hidden="1" customWidth="1"/>
    <col min="31" max="33" width="9.140625" style="0" hidden="1" customWidth="1"/>
    <col min="34" max="37" width="11.421875" style="0" hidden="1" customWidth="1"/>
    <col min="38" max="38" width="11.421875" style="0" customWidth="1"/>
    <col min="39" max="40" width="9.140625" style="0" hidden="1" customWidth="1"/>
  </cols>
  <sheetData>
    <row r="1" spans="1:40" s="87" customFormat="1" ht="12.75">
      <c r="A1" s="79" t="s">
        <v>0</v>
      </c>
      <c r="B1" s="79" t="s">
        <v>1</v>
      </c>
      <c r="C1" s="79" t="s">
        <v>2</v>
      </c>
      <c r="D1" s="144"/>
      <c r="E1" s="192">
        <v>38352</v>
      </c>
      <c r="F1" s="144"/>
      <c r="G1" s="192">
        <v>38300</v>
      </c>
      <c r="H1" s="144"/>
      <c r="I1" s="192">
        <v>38237</v>
      </c>
      <c r="J1" s="144"/>
      <c r="K1" s="192">
        <v>38111</v>
      </c>
      <c r="L1" s="244"/>
      <c r="M1" s="145">
        <v>38075</v>
      </c>
      <c r="N1" s="144"/>
      <c r="O1" s="192">
        <v>38075</v>
      </c>
      <c r="P1" s="144"/>
      <c r="Q1" s="192">
        <v>37986</v>
      </c>
      <c r="R1" s="79"/>
      <c r="S1" s="79"/>
      <c r="T1" s="82"/>
      <c r="U1" s="81"/>
      <c r="V1" s="82"/>
      <c r="W1" s="81">
        <v>36420</v>
      </c>
      <c r="X1" s="82"/>
      <c r="Y1" s="81">
        <v>36341</v>
      </c>
      <c r="Z1" s="81"/>
      <c r="AA1" s="81">
        <v>36231</v>
      </c>
      <c r="AB1" s="81"/>
      <c r="AC1" s="81">
        <v>36160</v>
      </c>
      <c r="AD1" s="83"/>
      <c r="AE1" s="81">
        <v>36052</v>
      </c>
      <c r="AF1" s="84" t="s">
        <v>3</v>
      </c>
      <c r="AG1" s="85">
        <v>35976</v>
      </c>
      <c r="AH1" s="84" t="s">
        <v>3</v>
      </c>
      <c r="AI1" s="85">
        <v>35884</v>
      </c>
      <c r="AJ1" s="86" t="s">
        <v>3</v>
      </c>
      <c r="AK1" s="85">
        <v>35795</v>
      </c>
      <c r="AM1" s="87">
        <v>40.3399</v>
      </c>
      <c r="AN1" s="87">
        <v>6.55957</v>
      </c>
    </row>
    <row r="2" spans="1:37" s="11" customFormat="1" ht="12.75">
      <c r="A2" s="1" t="s">
        <v>65</v>
      </c>
      <c r="B2" s="1" t="str">
        <f>A2</f>
        <v>Bertelsmann (1)</v>
      </c>
      <c r="C2" s="1" t="str">
        <f>A2</f>
        <v>Bertelsmann (1)</v>
      </c>
      <c r="D2" s="149" t="s">
        <v>4</v>
      </c>
      <c r="E2" s="193">
        <v>1885</v>
      </c>
      <c r="F2" s="149" t="s">
        <v>4</v>
      </c>
      <c r="G2" s="193">
        <v>1783</v>
      </c>
      <c r="H2" s="149" t="s">
        <v>4</v>
      </c>
      <c r="I2" s="193">
        <v>1765</v>
      </c>
      <c r="J2" s="149" t="s">
        <v>4</v>
      </c>
      <c r="K2" s="193">
        <v>1681</v>
      </c>
      <c r="L2" s="245" t="s">
        <v>4</v>
      </c>
      <c r="M2" s="150">
        <v>1673</v>
      </c>
      <c r="N2" s="149" t="s">
        <v>4</v>
      </c>
      <c r="O2" s="193">
        <v>1673</v>
      </c>
      <c r="P2" s="149" t="s">
        <v>4</v>
      </c>
      <c r="Q2" s="193">
        <v>1673</v>
      </c>
      <c r="R2" s="5"/>
      <c r="S2" s="6"/>
      <c r="T2" s="5"/>
      <c r="U2" s="6"/>
      <c r="V2" s="5"/>
      <c r="W2" s="6"/>
      <c r="X2" s="5"/>
      <c r="Y2" s="6"/>
      <c r="Z2" s="6"/>
      <c r="AA2" s="6"/>
      <c r="AB2" s="6"/>
      <c r="AC2" s="6"/>
      <c r="AD2" s="7"/>
      <c r="AE2" s="6"/>
      <c r="AF2" s="8"/>
      <c r="AG2" s="9"/>
      <c r="AH2" s="8"/>
      <c r="AI2" s="9"/>
      <c r="AJ2" s="10"/>
      <c r="AK2" s="9"/>
    </row>
    <row r="3" spans="1:38" s="19" customFormat="1" ht="12.75">
      <c r="A3" s="30" t="s">
        <v>83</v>
      </c>
      <c r="B3" s="1" t="str">
        <f>A3</f>
        <v>Total</v>
      </c>
      <c r="C3" s="30" t="str">
        <f>A3</f>
        <v>Total</v>
      </c>
      <c r="D3" s="155">
        <v>160.7</v>
      </c>
      <c r="E3" s="196">
        <v>3774</v>
      </c>
      <c r="F3" s="155">
        <v>165.4</v>
      </c>
      <c r="G3" s="196">
        <v>3884</v>
      </c>
      <c r="H3" s="155">
        <v>163</v>
      </c>
      <c r="I3" s="196">
        <v>3828</v>
      </c>
      <c r="J3" s="155">
        <v>157.5</v>
      </c>
      <c r="K3" s="196">
        <v>3699</v>
      </c>
      <c r="L3" s="157">
        <v>148.6</v>
      </c>
      <c r="M3" s="163">
        <v>3490</v>
      </c>
      <c r="N3" s="155">
        <v>148.6</v>
      </c>
      <c r="O3" s="196">
        <v>3490</v>
      </c>
      <c r="P3" s="155">
        <v>147.4</v>
      </c>
      <c r="Q3" s="196">
        <v>3462</v>
      </c>
      <c r="R3" s="14"/>
      <c r="S3" s="15"/>
      <c r="T3" s="14"/>
      <c r="U3" s="15"/>
      <c r="V3" s="14">
        <v>120.9</v>
      </c>
      <c r="W3" s="15">
        <v>2351</v>
      </c>
      <c r="X3" s="14">
        <v>125.1</v>
      </c>
      <c r="Y3" s="15">
        <v>2399</v>
      </c>
      <c r="Z3" s="32">
        <f>460.3/4.5</f>
        <v>102.28888888888889</v>
      </c>
      <c r="AA3" s="15">
        <v>1921</v>
      </c>
      <c r="AB3" s="17">
        <v>86.76</v>
      </c>
      <c r="AC3" s="18">
        <v>1590</v>
      </c>
      <c r="AD3" s="17" t="e">
        <f>12875/(#REF!*4.5)</f>
        <v>#REF!</v>
      </c>
      <c r="AE3" s="18" t="e">
        <f>52109/#REF!</f>
        <v>#REF!</v>
      </c>
      <c r="AF3" s="17" t="e">
        <f>15275/(#REF!*4.5)</f>
        <v>#REF!</v>
      </c>
      <c r="AG3" s="18" t="e">
        <f>61445/#REF!</f>
        <v>#REF!</v>
      </c>
      <c r="AH3" s="17" t="e">
        <f>13950/#REF!</f>
        <v>#REF!</v>
      </c>
      <c r="AI3" s="18" t="e">
        <f>38455/#REF!</f>
        <v>#REF!</v>
      </c>
      <c r="AJ3" s="4" t="e">
        <f>13675/#REF!</f>
        <v>#REF!</v>
      </c>
      <c r="AK3" s="18" t="e">
        <f>35072/#REF!</f>
        <v>#REF!</v>
      </c>
      <c r="AL3" s="30" t="s">
        <v>6</v>
      </c>
    </row>
    <row r="4" spans="1:38" s="19" customFormat="1" ht="12.75">
      <c r="A4" s="30" t="s">
        <v>77</v>
      </c>
      <c r="B4" s="1" t="str">
        <f>A4</f>
        <v>Suez </v>
      </c>
      <c r="C4" s="30" t="str">
        <f>A4</f>
        <v>Suez </v>
      </c>
      <c r="D4" s="155">
        <v>19.62</v>
      </c>
      <c r="E4" s="196">
        <v>1422</v>
      </c>
      <c r="F4" s="155">
        <v>18.27</v>
      </c>
      <c r="G4" s="196">
        <v>1324</v>
      </c>
      <c r="H4" s="155">
        <v>17.24</v>
      </c>
      <c r="I4" s="196">
        <v>1249</v>
      </c>
      <c r="J4" s="155">
        <v>16.15</v>
      </c>
      <c r="K4" s="196">
        <v>1170</v>
      </c>
      <c r="L4" s="157">
        <v>16.54</v>
      </c>
      <c r="M4" s="163">
        <v>1198</v>
      </c>
      <c r="N4" s="155">
        <v>16.54</v>
      </c>
      <c r="O4" s="196">
        <v>1198</v>
      </c>
      <c r="P4" s="155">
        <v>15.93</v>
      </c>
      <c r="Q4" s="196">
        <v>1154</v>
      </c>
      <c r="R4" s="14"/>
      <c r="S4" s="18"/>
      <c r="T4" s="14"/>
      <c r="U4" s="18"/>
      <c r="V4" s="14">
        <v>159.9</v>
      </c>
      <c r="W4" s="18">
        <v>2134</v>
      </c>
      <c r="X4" s="14">
        <v>174.9</v>
      </c>
      <c r="Y4" s="18">
        <v>2278</v>
      </c>
      <c r="Z4" s="17">
        <v>173.2</v>
      </c>
      <c r="AA4" s="18">
        <v>2197</v>
      </c>
      <c r="AB4" s="17">
        <f>1148/AN1</f>
        <v>175.0114717885471</v>
      </c>
      <c r="AC4" s="18">
        <f>85728/AM1</f>
        <v>2125.1416091760266</v>
      </c>
      <c r="AD4" s="17">
        <f>1029/AN1</f>
        <v>156.8700387372953</v>
      </c>
      <c r="AE4" s="18">
        <f>76396/AM1</f>
        <v>1893.8073718576397</v>
      </c>
      <c r="AF4" s="17">
        <f>995/AN1</f>
        <v>151.68677215122332</v>
      </c>
      <c r="AG4" s="18">
        <f>73440/AM1</f>
        <v>1820.5300459346702</v>
      </c>
      <c r="AH4" s="17">
        <f>889/AN1</f>
        <v>135.52717632405782</v>
      </c>
      <c r="AI4" s="18">
        <f>41140/AM1</f>
        <v>1019.8339609171069</v>
      </c>
      <c r="AJ4" s="4">
        <f>666/AN1</f>
        <v>101.53104548011531</v>
      </c>
      <c r="AK4" s="18">
        <f>28071/AM1</f>
        <v>695.8619133909604</v>
      </c>
      <c r="AL4" s="30" t="s">
        <v>6</v>
      </c>
    </row>
    <row r="5" spans="1:38" s="19" customFormat="1" ht="12.75">
      <c r="A5" s="30" t="s">
        <v>84</v>
      </c>
      <c r="B5" s="1" t="str">
        <f>A5</f>
        <v>Imerys (2)</v>
      </c>
      <c r="C5" s="30" t="str">
        <f>A5</f>
        <v>Imerys (2)</v>
      </c>
      <c r="D5" s="155">
        <v>61.75</v>
      </c>
      <c r="E5" s="196">
        <v>1034</v>
      </c>
      <c r="F5" s="155">
        <v>55.9</v>
      </c>
      <c r="G5" s="196">
        <v>936</v>
      </c>
      <c r="H5" s="155">
        <v>50.85</v>
      </c>
      <c r="I5" s="196">
        <v>851</v>
      </c>
      <c r="J5" s="155">
        <v>48.15</v>
      </c>
      <c r="K5" s="196">
        <v>806</v>
      </c>
      <c r="L5" s="157">
        <v>47.22</v>
      </c>
      <c r="M5" s="163">
        <v>791</v>
      </c>
      <c r="N5" s="155">
        <v>47.22</v>
      </c>
      <c r="O5" s="196">
        <v>791</v>
      </c>
      <c r="P5" s="155">
        <v>41.73</v>
      </c>
      <c r="Q5" s="196">
        <v>699</v>
      </c>
      <c r="R5" s="14"/>
      <c r="S5" s="15"/>
      <c r="T5" s="14"/>
      <c r="U5" s="15"/>
      <c r="V5" s="14">
        <v>149.1</v>
      </c>
      <c r="W5" s="15">
        <v>624</v>
      </c>
      <c r="X5" s="14">
        <v>144</v>
      </c>
      <c r="Y5" s="15">
        <v>603</v>
      </c>
      <c r="Z5" s="16">
        <v>99.6</v>
      </c>
      <c r="AA5" s="15">
        <v>417</v>
      </c>
      <c r="AB5" s="17">
        <f>560/AN1</f>
        <v>85.37144965294982</v>
      </c>
      <c r="AC5" s="18">
        <f>14416/AM1</f>
        <v>357.36330531310193</v>
      </c>
      <c r="AD5" s="17">
        <f>563/AN1</f>
        <v>85.82879670466204</v>
      </c>
      <c r="AE5" s="18">
        <f>14484/AM1</f>
        <v>359.0489812815599</v>
      </c>
      <c r="AF5" s="17">
        <f>831/AN1</f>
        <v>126.68513332428803</v>
      </c>
      <c r="AG5" s="18">
        <f>19136/AM1</f>
        <v>474.3690490060709</v>
      </c>
      <c r="AH5" s="17">
        <f>818/AN1</f>
        <v>124.7032961002017</v>
      </c>
      <c r="AI5" s="18">
        <f>16662/AM1</f>
        <v>413.0401909771715</v>
      </c>
      <c r="AJ5" s="4">
        <f>748/AN1</f>
        <v>114.03186489358296</v>
      </c>
      <c r="AK5" s="18">
        <f>15243/AM1</f>
        <v>377.8640998118488</v>
      </c>
      <c r="AL5" s="30" t="s">
        <v>6</v>
      </c>
    </row>
    <row r="6" spans="1:38" s="19" customFormat="1" ht="12.75">
      <c r="A6" s="30" t="s">
        <v>15</v>
      </c>
      <c r="B6" s="1" t="str">
        <f>A6</f>
        <v>Rhodia</v>
      </c>
      <c r="C6" s="30" t="str">
        <f>A6</f>
        <v>Rhodia</v>
      </c>
      <c r="D6" s="155"/>
      <c r="E6" s="195" t="s">
        <v>4</v>
      </c>
      <c r="F6" s="155"/>
      <c r="G6" s="195" t="s">
        <v>4</v>
      </c>
      <c r="H6" s="155"/>
      <c r="I6" s="195" t="s">
        <v>4</v>
      </c>
      <c r="J6" s="155"/>
      <c r="K6" s="195" t="s">
        <v>4</v>
      </c>
      <c r="L6" s="157"/>
      <c r="M6" s="163">
        <v>0</v>
      </c>
      <c r="N6" s="155"/>
      <c r="O6" s="195" t="s">
        <v>4</v>
      </c>
      <c r="P6" s="155">
        <v>3.55</v>
      </c>
      <c r="Q6" s="196">
        <v>31</v>
      </c>
      <c r="R6" s="14"/>
      <c r="S6" s="33"/>
      <c r="T6" s="14"/>
      <c r="U6" s="33"/>
      <c r="V6" s="33"/>
      <c r="W6" s="33" t="s">
        <v>16</v>
      </c>
      <c r="X6" s="34"/>
      <c r="Y6" s="33" t="s">
        <v>16</v>
      </c>
      <c r="Z6" s="35"/>
      <c r="AA6" s="33" t="s">
        <v>16</v>
      </c>
      <c r="AB6" s="36"/>
      <c r="AC6" s="33" t="s">
        <v>16</v>
      </c>
      <c r="AD6" s="36"/>
      <c r="AE6" s="33"/>
      <c r="AF6" s="36"/>
      <c r="AG6" s="33"/>
      <c r="AH6" s="36"/>
      <c r="AI6" s="18"/>
      <c r="AJ6" s="37"/>
      <c r="AK6" s="18"/>
      <c r="AL6" s="30"/>
    </row>
    <row r="7" spans="1:38" s="19" customFormat="1" ht="12.75">
      <c r="A7" s="30" t="s">
        <v>17</v>
      </c>
      <c r="B7" s="30" t="s">
        <v>18</v>
      </c>
      <c r="C7" s="30" t="s">
        <v>19</v>
      </c>
      <c r="D7" s="155"/>
      <c r="E7" s="196">
        <v>49</v>
      </c>
      <c r="F7" s="155"/>
      <c r="G7" s="196">
        <v>91</v>
      </c>
      <c r="H7" s="155"/>
      <c r="I7" s="196">
        <v>49</v>
      </c>
      <c r="J7" s="155"/>
      <c r="K7" s="196">
        <v>52</v>
      </c>
      <c r="L7" s="157"/>
      <c r="M7" s="163">
        <v>35</v>
      </c>
      <c r="N7" s="155"/>
      <c r="O7" s="196">
        <v>35</v>
      </c>
      <c r="P7" s="155"/>
      <c r="Q7" s="196">
        <v>33</v>
      </c>
      <c r="R7" s="34"/>
      <c r="S7" s="15"/>
      <c r="T7" s="34"/>
      <c r="U7" s="15"/>
      <c r="V7" s="34"/>
      <c r="W7" s="15">
        <v>266</v>
      </c>
      <c r="X7" s="34"/>
      <c r="Y7" s="15">
        <v>257</v>
      </c>
      <c r="Z7" s="35"/>
      <c r="AA7" s="15">
        <f>25+190</f>
        <v>215</v>
      </c>
      <c r="AB7" s="36" t="s">
        <v>3</v>
      </c>
      <c r="AC7" s="18">
        <f>7517/AM1+1</f>
        <v>187.34156257204407</v>
      </c>
      <c r="AD7" s="36" t="s">
        <v>3</v>
      </c>
      <c r="AE7" s="18">
        <f>10221/AM1</f>
        <v>253.371971670728</v>
      </c>
      <c r="AF7" s="36" t="s">
        <v>6</v>
      </c>
      <c r="AG7" s="18">
        <f>13264/AM1</f>
        <v>328.80597125922475</v>
      </c>
      <c r="AH7" s="36" t="s">
        <v>6</v>
      </c>
      <c r="AI7" s="18">
        <f>15670/AM1+1</f>
        <v>389.44915331966615</v>
      </c>
      <c r="AJ7" s="37" t="s">
        <v>6</v>
      </c>
      <c r="AK7" s="18">
        <f>22978/AM1</f>
        <v>569.6097412239495</v>
      </c>
      <c r="AL7" s="30" t="s">
        <v>6</v>
      </c>
    </row>
    <row r="8" spans="1:38" s="40" customFormat="1" ht="12.75">
      <c r="A8" s="38" t="s">
        <v>20</v>
      </c>
      <c r="B8" s="38" t="s">
        <v>21</v>
      </c>
      <c r="C8" s="38" t="s">
        <v>22</v>
      </c>
      <c r="D8" s="155"/>
      <c r="E8" s="196">
        <v>725</v>
      </c>
      <c r="F8" s="155"/>
      <c r="G8" s="196">
        <v>635</v>
      </c>
      <c r="H8" s="155"/>
      <c r="I8" s="196">
        <v>602</v>
      </c>
      <c r="J8" s="155"/>
      <c r="K8" s="196">
        <v>560</v>
      </c>
      <c r="L8" s="157"/>
      <c r="M8" s="163">
        <v>517</v>
      </c>
      <c r="N8" s="155"/>
      <c r="O8" s="196">
        <v>517</v>
      </c>
      <c r="P8" s="155"/>
      <c r="Q8" s="196">
        <v>476</v>
      </c>
      <c r="R8" s="39"/>
      <c r="T8" s="39"/>
      <c r="V8" s="39"/>
      <c r="W8" s="40">
        <v>392</v>
      </c>
      <c r="X8" s="39"/>
      <c r="Y8" s="40">
        <v>414</v>
      </c>
      <c r="Z8" s="41"/>
      <c r="AA8" s="40">
        <v>527</v>
      </c>
      <c r="AB8" s="42" t="s">
        <v>3</v>
      </c>
      <c r="AC8" s="42">
        <f>24308/AM1</f>
        <v>602.5795800187904</v>
      </c>
      <c r="AD8" s="42" t="s">
        <v>3</v>
      </c>
      <c r="AE8" s="42">
        <f>22554/AM1</f>
        <v>559.0990557735641</v>
      </c>
      <c r="AF8" s="42" t="s">
        <v>6</v>
      </c>
      <c r="AG8" s="42">
        <f>29104/AM1</f>
        <v>721.4693145000359</v>
      </c>
      <c r="AH8" s="42" t="s">
        <v>6</v>
      </c>
      <c r="AI8" s="42">
        <f>48989/AM1+1</f>
        <v>1215.4055885116225</v>
      </c>
      <c r="AJ8" s="38" t="s">
        <v>6</v>
      </c>
      <c r="AK8" s="42">
        <f>37124/AM1+1</f>
        <v>921.279921368174</v>
      </c>
      <c r="AL8" s="38" t="s">
        <v>6</v>
      </c>
    </row>
    <row r="9" spans="1:40" s="19" customFormat="1" ht="12.75">
      <c r="A9" s="113" t="s">
        <v>25</v>
      </c>
      <c r="B9" s="113" t="s">
        <v>26</v>
      </c>
      <c r="C9" s="113" t="s">
        <v>27</v>
      </c>
      <c r="D9" s="228"/>
      <c r="E9" s="231">
        <f>SUM(E2:E8)</f>
        <v>8889</v>
      </c>
      <c r="F9" s="228"/>
      <c r="G9" s="231">
        <f>SUM(G2:G8)</f>
        <v>8653</v>
      </c>
      <c r="H9" s="228"/>
      <c r="I9" s="231">
        <f>SUM(I2:I8)</f>
        <v>8344</v>
      </c>
      <c r="J9" s="228"/>
      <c r="K9" s="231">
        <f>SUM(K2:K8)</f>
        <v>7968</v>
      </c>
      <c r="L9" s="232"/>
      <c r="M9" s="141">
        <f>SUM(M2:M8)</f>
        <v>7704</v>
      </c>
      <c r="N9" s="228"/>
      <c r="O9" s="231">
        <f>SUM(O2:O8)</f>
        <v>7704</v>
      </c>
      <c r="P9" s="228"/>
      <c r="Q9" s="231">
        <f>SUM(Q2:Q8)</f>
        <v>7528</v>
      </c>
      <c r="R9" s="34"/>
      <c r="S9" s="18"/>
      <c r="T9" s="34"/>
      <c r="U9" s="18"/>
      <c r="V9" s="34"/>
      <c r="W9" s="18" t="e">
        <f>SUM(W3:W4:#REF!)-#REF!-#REF!</f>
        <v>#REF!</v>
      </c>
      <c r="X9" s="34"/>
      <c r="Y9" s="18" t="e">
        <f>SUM(Y3:Y4:#REF!)-#REF!-#REF!</f>
        <v>#REF!</v>
      </c>
      <c r="Z9" s="35"/>
      <c r="AA9" s="18" t="e">
        <f>SUM(AA3:AA4:#REF!)-#REF!-#REF!</f>
        <v>#REF!</v>
      </c>
      <c r="AB9" s="36" t="s">
        <v>3</v>
      </c>
      <c r="AC9" s="18" t="e">
        <f>SUM(AC3:AC4:#REF!)-#REF!-#REF!-1</f>
        <v>#REF!</v>
      </c>
      <c r="AD9" s="36" t="s">
        <v>3</v>
      </c>
      <c r="AE9" s="18">
        <f>SUM(AE4:AE8)</f>
        <v>3065.3273805834915</v>
      </c>
      <c r="AF9" s="36" t="s">
        <v>6</v>
      </c>
      <c r="AG9" s="18">
        <f>SUM(AG4:AG8)</f>
        <v>3345.174380700002</v>
      </c>
      <c r="AH9" s="36" t="s">
        <v>6</v>
      </c>
      <c r="AI9" s="43">
        <f>SUM(AI4:AI8)-2</f>
        <v>3035.728893725567</v>
      </c>
      <c r="AJ9" s="37" t="s">
        <v>6</v>
      </c>
      <c r="AK9" s="43">
        <f>SUM(AK4:AK8)-1</f>
        <v>2563.615675794933</v>
      </c>
      <c r="AL9" s="30" t="s">
        <v>6</v>
      </c>
      <c r="AM9" s="19">
        <f>236182/AM1</f>
        <v>5854.798846799323</v>
      </c>
      <c r="AN9" s="19">
        <f>214263/AM1</f>
        <v>5311.441029848859</v>
      </c>
    </row>
    <row r="10" spans="1:38" s="48" customFormat="1" ht="25.5">
      <c r="A10" s="178" t="s">
        <v>28</v>
      </c>
      <c r="B10" s="178" t="s">
        <v>29</v>
      </c>
      <c r="C10" s="178" t="s">
        <v>30</v>
      </c>
      <c r="D10" s="174"/>
      <c r="E10" s="198">
        <v>64.27</v>
      </c>
      <c r="F10" s="174"/>
      <c r="G10" s="198">
        <v>62.57</v>
      </c>
      <c r="H10" s="174"/>
      <c r="I10" s="198">
        <v>60.33</v>
      </c>
      <c r="J10" s="174"/>
      <c r="K10" s="198">
        <v>57.62</v>
      </c>
      <c r="L10" s="177"/>
      <c r="M10" s="175">
        <v>55.71</v>
      </c>
      <c r="N10" s="174"/>
      <c r="O10" s="198">
        <v>55.71</v>
      </c>
      <c r="P10" s="174"/>
      <c r="Q10" s="198">
        <v>54.43</v>
      </c>
      <c r="R10" s="45"/>
      <c r="S10" s="36"/>
      <c r="T10" s="45"/>
      <c r="U10" s="36"/>
      <c r="V10" s="45"/>
      <c r="W10" s="36">
        <v>289.33</v>
      </c>
      <c r="X10" s="45"/>
      <c r="Y10" s="36">
        <v>256.53</v>
      </c>
      <c r="Z10" s="35"/>
      <c r="AA10" s="36">
        <v>256.53</v>
      </c>
      <c r="AB10" s="36" t="s">
        <v>3</v>
      </c>
      <c r="AC10" s="36">
        <v>239.64</v>
      </c>
      <c r="AD10" s="36" t="s">
        <v>3</v>
      </c>
      <c r="AE10" s="36">
        <v>217.47</v>
      </c>
      <c r="AF10" s="47"/>
      <c r="AG10" s="36">
        <v>238.97</v>
      </c>
      <c r="AH10" s="36" t="s">
        <v>6</v>
      </c>
      <c r="AI10" s="47">
        <v>206.87</v>
      </c>
      <c r="AJ10" s="37" t="s">
        <v>6</v>
      </c>
      <c r="AK10" s="47">
        <v>178.36</v>
      </c>
      <c r="AL10" s="37" t="s">
        <v>6</v>
      </c>
    </row>
    <row r="11" spans="1:38" s="48" customFormat="1" ht="12.75">
      <c r="A11" s="178" t="s">
        <v>31</v>
      </c>
      <c r="B11" s="178" t="s">
        <v>32</v>
      </c>
      <c r="C11" s="178" t="s">
        <v>33</v>
      </c>
      <c r="D11" s="174"/>
      <c r="E11" s="199">
        <v>59.9</v>
      </c>
      <c r="F11" s="174"/>
      <c r="G11" s="199">
        <v>59.95</v>
      </c>
      <c r="H11" s="174"/>
      <c r="I11" s="199">
        <v>52.9</v>
      </c>
      <c r="J11" s="174"/>
      <c r="K11" s="199">
        <v>51.9</v>
      </c>
      <c r="L11" s="177"/>
      <c r="M11" s="178">
        <v>48.65</v>
      </c>
      <c r="N11" s="174"/>
      <c r="O11" s="199">
        <v>48.65</v>
      </c>
      <c r="P11" s="174"/>
      <c r="Q11" s="199">
        <v>44.67</v>
      </c>
      <c r="R11" s="45"/>
      <c r="T11" s="45"/>
      <c r="V11" s="45"/>
      <c r="W11" s="48">
        <v>186.9</v>
      </c>
      <c r="X11" s="45"/>
      <c r="Y11" s="48">
        <v>163.9</v>
      </c>
      <c r="Z11" s="35"/>
      <c r="AA11" s="48">
        <v>167.5</v>
      </c>
      <c r="AB11" s="46" t="s">
        <v>3</v>
      </c>
      <c r="AC11" s="46">
        <v>173.53</v>
      </c>
      <c r="AD11" s="46" t="s">
        <v>3</v>
      </c>
      <c r="AE11" s="46">
        <v>160.64</v>
      </c>
      <c r="AF11" s="36" t="s">
        <v>6</v>
      </c>
      <c r="AG11" s="36">
        <v>186.17</v>
      </c>
      <c r="AH11" s="36" t="s">
        <v>6</v>
      </c>
      <c r="AI11" s="36">
        <v>160.64</v>
      </c>
      <c r="AJ11" s="37" t="s">
        <v>6</v>
      </c>
      <c r="AK11" s="36">
        <v>132.87</v>
      </c>
      <c r="AL11" s="44" t="s">
        <v>6</v>
      </c>
    </row>
    <row r="12" spans="1:38" s="19" customFormat="1" ht="12.75">
      <c r="A12" s="248" t="s">
        <v>78</v>
      </c>
      <c r="B12" s="248" t="s">
        <v>82</v>
      </c>
      <c r="C12" s="248" t="s">
        <v>81</v>
      </c>
      <c r="D12" s="171"/>
      <c r="E12" s="197">
        <v>138300053</v>
      </c>
      <c r="F12" s="171"/>
      <c r="G12" s="197">
        <v>138300053</v>
      </c>
      <c r="H12" s="171"/>
      <c r="I12" s="197">
        <v>138300053</v>
      </c>
      <c r="J12" s="171"/>
      <c r="K12" s="197">
        <v>138300053</v>
      </c>
      <c r="L12" s="246"/>
      <c r="M12" s="172">
        <v>138300053</v>
      </c>
      <c r="N12" s="171"/>
      <c r="O12" s="197">
        <v>138300053</v>
      </c>
      <c r="P12" s="171"/>
      <c r="Q12" s="197">
        <v>138300053</v>
      </c>
      <c r="R12" s="34"/>
      <c r="S12" s="18"/>
      <c r="T12" s="34"/>
      <c r="U12" s="18"/>
      <c r="V12" s="34"/>
      <c r="W12" s="18">
        <v>24432025</v>
      </c>
      <c r="X12" s="34"/>
      <c r="Y12" s="18">
        <v>24432025</v>
      </c>
      <c r="Z12" s="35"/>
      <c r="AA12" s="18">
        <v>24432025</v>
      </c>
      <c r="AB12" s="36" t="s">
        <v>3</v>
      </c>
      <c r="AC12" s="18">
        <v>24432025</v>
      </c>
      <c r="AD12" s="36" t="s">
        <v>3</v>
      </c>
      <c r="AE12" s="18">
        <v>24458667</v>
      </c>
      <c r="AF12" s="36" t="s">
        <v>6</v>
      </c>
      <c r="AG12" s="18">
        <v>24402157</v>
      </c>
      <c r="AH12" s="36" t="s">
        <v>6</v>
      </c>
      <c r="AI12" s="18">
        <v>25783578</v>
      </c>
      <c r="AJ12" s="37" t="s">
        <v>6</v>
      </c>
      <c r="AK12" s="18">
        <v>25783578</v>
      </c>
      <c r="AL12" s="30" t="s">
        <v>6</v>
      </c>
    </row>
    <row r="14" spans="1:33" s="19" customFormat="1" ht="12.75" customHeight="1">
      <c r="A14"/>
      <c r="B14" s="57"/>
      <c r="C14" s="58"/>
      <c r="D14" s="224"/>
      <c r="E14" s="225"/>
      <c r="F14" s="224"/>
      <c r="G14" s="225"/>
      <c r="H14" s="224"/>
      <c r="I14" s="225"/>
      <c r="J14" s="224"/>
      <c r="K14" s="227"/>
      <c r="L14" s="75"/>
      <c r="M14" s="76"/>
      <c r="N14" s="224"/>
      <c r="O14" s="225"/>
      <c r="P14" s="224"/>
      <c r="Q14" s="227"/>
      <c r="R14" s="57"/>
      <c r="S14" s="60"/>
      <c r="T14" s="57"/>
      <c r="W14" s="36"/>
      <c r="X14" s="30"/>
      <c r="Y14" s="36"/>
      <c r="Z14" s="33"/>
      <c r="AA14" s="33"/>
      <c r="AB14" s="33"/>
      <c r="AC14" s="33"/>
      <c r="AD14" s="33"/>
      <c r="AE14" s="33"/>
      <c r="AF14" s="33"/>
      <c r="AG14" s="30"/>
    </row>
  </sheetData>
  <sheetProtection/>
  <printOptions/>
  <pageMargins left="0.25" right="0.25" top="0.984251969" bottom="0.984251969" header="0.4921259845" footer="0.4921259845"/>
  <pageSetup fitToHeight="1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14"/>
  <sheetViews>
    <sheetView showGridLines="0" zoomScalePageLayoutView="0" workbookViewId="0" topLeftCell="A1">
      <selection activeCell="F22" sqref="F22"/>
    </sheetView>
  </sheetViews>
  <sheetFormatPr defaultColWidth="11.421875" defaultRowHeight="12.75"/>
  <cols>
    <col min="1" max="1" width="25.00390625" style="0" customWidth="1"/>
    <col min="2" max="2" width="28.7109375" style="0" customWidth="1"/>
    <col min="3" max="3" width="26.421875" style="0" customWidth="1"/>
    <col min="4" max="4" width="11.57421875" style="191" customWidth="1"/>
    <col min="5" max="5" width="12.421875" style="203" customWidth="1"/>
    <col min="6" max="6" width="10.7109375" style="191" customWidth="1"/>
    <col min="7" max="7" width="11.421875" style="203" customWidth="1"/>
    <col min="8" max="8" width="11.421875" style="191" customWidth="1"/>
    <col min="9" max="9" width="12.7109375" style="203" customWidth="1"/>
    <col min="10" max="10" width="11.421875" style="191" customWidth="1"/>
    <col min="11" max="11" width="12.421875" style="203" customWidth="1"/>
    <col min="12" max="12" width="9.140625" style="73" hidden="1" customWidth="1"/>
    <col min="13" max="13" width="9.140625" style="72" hidden="1" customWidth="1"/>
    <col min="14" max="14" width="11.421875" style="191" customWidth="1"/>
    <col min="15" max="15" width="13.00390625" style="203" customWidth="1"/>
    <col min="16" max="16" width="11.421875" style="191" customWidth="1"/>
    <col min="17" max="17" width="12.421875" style="203" customWidth="1"/>
    <col min="18" max="18" width="11.421875" style="54" customWidth="1"/>
    <col min="19" max="19" width="12.28125" style="0" customWidth="1"/>
    <col min="20" max="20" width="11.421875" style="54" customWidth="1"/>
    <col min="21" max="21" width="11.421875" style="0" customWidth="1"/>
    <col min="22" max="22" width="9.140625" style="54" hidden="1" customWidth="1"/>
    <col min="23" max="23" width="9.140625" style="0" hidden="1" customWidth="1"/>
    <col min="24" max="24" width="9.140625" style="54" hidden="1" customWidth="1"/>
    <col min="25" max="25" width="9.140625" style="0" hidden="1" customWidth="1"/>
    <col min="26" max="26" width="11.57421875" style="55" hidden="1" customWidth="1"/>
    <col min="27" max="27" width="9.140625" style="0" hidden="1" customWidth="1"/>
    <col min="28" max="28" width="9.140625" style="55" hidden="1" customWidth="1"/>
    <col min="29" max="29" width="9.140625" style="0" hidden="1" customWidth="1"/>
    <col min="30" max="30" width="11.57421875" style="56" hidden="1" customWidth="1"/>
    <col min="31" max="33" width="9.140625" style="0" hidden="1" customWidth="1"/>
    <col min="34" max="37" width="11.421875" style="0" hidden="1" customWidth="1"/>
    <col min="38" max="38" width="11.421875" style="0" customWidth="1"/>
    <col min="39" max="40" width="9.140625" style="0" hidden="1" customWidth="1"/>
  </cols>
  <sheetData>
    <row r="1" spans="1:40" s="87" customFormat="1" ht="12.75">
      <c r="A1" s="79" t="s">
        <v>0</v>
      </c>
      <c r="B1" s="79" t="s">
        <v>1</v>
      </c>
      <c r="C1" s="79" t="s">
        <v>2</v>
      </c>
      <c r="D1" s="144"/>
      <c r="E1" s="192">
        <v>38717</v>
      </c>
      <c r="F1" s="144"/>
      <c r="G1" s="192">
        <v>38664</v>
      </c>
      <c r="H1" s="144"/>
      <c r="I1" s="192">
        <v>38607</v>
      </c>
      <c r="J1" s="144"/>
      <c r="K1" s="192">
        <v>38475</v>
      </c>
      <c r="L1" s="244"/>
      <c r="M1" s="145">
        <v>38075</v>
      </c>
      <c r="N1" s="144"/>
      <c r="O1" s="192">
        <v>38427</v>
      </c>
      <c r="P1" s="144"/>
      <c r="Q1" s="192">
        <v>38352</v>
      </c>
      <c r="R1" s="79"/>
      <c r="S1" s="79"/>
      <c r="T1" s="82"/>
      <c r="U1" s="81"/>
      <c r="V1" s="82"/>
      <c r="W1" s="81">
        <v>36420</v>
      </c>
      <c r="X1" s="82"/>
      <c r="Y1" s="81">
        <v>36341</v>
      </c>
      <c r="Z1" s="81"/>
      <c r="AA1" s="81">
        <v>36231</v>
      </c>
      <c r="AB1" s="81"/>
      <c r="AC1" s="81">
        <v>36160</v>
      </c>
      <c r="AD1" s="83"/>
      <c r="AE1" s="81">
        <v>36052</v>
      </c>
      <c r="AF1" s="84" t="s">
        <v>3</v>
      </c>
      <c r="AG1" s="85">
        <v>35976</v>
      </c>
      <c r="AH1" s="84" t="s">
        <v>3</v>
      </c>
      <c r="AI1" s="85">
        <v>35884</v>
      </c>
      <c r="AJ1" s="86" t="s">
        <v>3</v>
      </c>
      <c r="AK1" s="85">
        <v>35795</v>
      </c>
      <c r="AM1" s="87">
        <v>40.3399</v>
      </c>
      <c r="AN1" s="87">
        <v>6.55957</v>
      </c>
    </row>
    <row r="2" spans="1:37" s="11" customFormat="1" ht="12.75">
      <c r="A2" s="1" t="s">
        <v>65</v>
      </c>
      <c r="B2" s="1" t="str">
        <f>A2</f>
        <v>Bertelsmann (1)</v>
      </c>
      <c r="C2" s="1" t="str">
        <f>A2</f>
        <v>Bertelsmann (1)</v>
      </c>
      <c r="D2" s="149" t="s">
        <v>4</v>
      </c>
      <c r="E2" s="193">
        <v>2090</v>
      </c>
      <c r="F2" s="149" t="s">
        <v>4</v>
      </c>
      <c r="G2" s="193">
        <v>1965</v>
      </c>
      <c r="H2" s="149" t="s">
        <v>4</v>
      </c>
      <c r="I2" s="193">
        <v>1902</v>
      </c>
      <c r="J2" s="149" t="s">
        <v>4</v>
      </c>
      <c r="K2" s="193">
        <v>1893</v>
      </c>
      <c r="L2" s="245" t="s">
        <v>4</v>
      </c>
      <c r="M2" s="150">
        <v>1673</v>
      </c>
      <c r="N2" s="149" t="s">
        <v>4</v>
      </c>
      <c r="O2" s="193">
        <v>1885</v>
      </c>
      <c r="P2" s="149" t="s">
        <v>4</v>
      </c>
      <c r="Q2" s="193">
        <v>1885</v>
      </c>
      <c r="R2" s="5"/>
      <c r="S2" s="6"/>
      <c r="T2" s="5"/>
      <c r="U2" s="6"/>
      <c r="V2" s="5"/>
      <c r="W2" s="6"/>
      <c r="X2" s="5"/>
      <c r="Y2" s="6"/>
      <c r="Z2" s="6"/>
      <c r="AA2" s="6"/>
      <c r="AB2" s="6"/>
      <c r="AC2" s="6"/>
      <c r="AD2" s="7"/>
      <c r="AE2" s="6"/>
      <c r="AF2" s="8"/>
      <c r="AG2" s="9"/>
      <c r="AH2" s="8"/>
      <c r="AI2" s="9"/>
      <c r="AJ2" s="10"/>
      <c r="AK2" s="9"/>
    </row>
    <row r="3" spans="1:38" s="19" customFormat="1" ht="12.75">
      <c r="A3" s="30" t="s">
        <v>83</v>
      </c>
      <c r="B3" s="1" t="str">
        <f>A3</f>
        <v>Total</v>
      </c>
      <c r="C3" s="30" t="str">
        <f>A3</f>
        <v>Total</v>
      </c>
      <c r="D3" s="155">
        <v>212.2</v>
      </c>
      <c r="E3" s="196">
        <v>4984</v>
      </c>
      <c r="F3" s="155">
        <v>214.4</v>
      </c>
      <c r="G3" s="196">
        <v>5035</v>
      </c>
      <c r="H3" s="155">
        <v>218.1</v>
      </c>
      <c r="I3" s="196">
        <v>5122</v>
      </c>
      <c r="J3" s="155">
        <v>173.4</v>
      </c>
      <c r="K3" s="196">
        <v>4128</v>
      </c>
      <c r="L3" s="157">
        <v>148.6</v>
      </c>
      <c r="M3" s="163">
        <v>3490</v>
      </c>
      <c r="N3" s="155">
        <v>180.4</v>
      </c>
      <c r="O3" s="196">
        <v>4237</v>
      </c>
      <c r="P3" s="155">
        <v>160.7</v>
      </c>
      <c r="Q3" s="196">
        <v>3774</v>
      </c>
      <c r="R3" s="14"/>
      <c r="S3" s="15"/>
      <c r="T3" s="14"/>
      <c r="U3" s="15"/>
      <c r="V3" s="14">
        <v>120.9</v>
      </c>
      <c r="W3" s="15">
        <v>2351</v>
      </c>
      <c r="X3" s="14">
        <v>125.1</v>
      </c>
      <c r="Y3" s="15">
        <v>2399</v>
      </c>
      <c r="Z3" s="32">
        <f>460.3/4.5</f>
        <v>102.28888888888889</v>
      </c>
      <c r="AA3" s="15">
        <v>1921</v>
      </c>
      <c r="AB3" s="17">
        <v>86.76</v>
      </c>
      <c r="AC3" s="18">
        <v>1590</v>
      </c>
      <c r="AD3" s="17" t="e">
        <f>12875/(#REF!*4.5)</f>
        <v>#REF!</v>
      </c>
      <c r="AE3" s="18" t="e">
        <f>52109/#REF!</f>
        <v>#REF!</v>
      </c>
      <c r="AF3" s="17" t="e">
        <f>15275/(#REF!*4.5)</f>
        <v>#REF!</v>
      </c>
      <c r="AG3" s="18" t="e">
        <f>61445/#REF!</f>
        <v>#REF!</v>
      </c>
      <c r="AH3" s="17" t="e">
        <f>13950/#REF!</f>
        <v>#REF!</v>
      </c>
      <c r="AI3" s="18" t="e">
        <f>38455/#REF!</f>
        <v>#REF!</v>
      </c>
      <c r="AJ3" s="4" t="e">
        <f>13675/#REF!</f>
        <v>#REF!</v>
      </c>
      <c r="AK3" s="18" t="e">
        <f>35072/#REF!</f>
        <v>#REF!</v>
      </c>
      <c r="AL3" s="30" t="s">
        <v>6</v>
      </c>
    </row>
    <row r="4" spans="1:38" s="19" customFormat="1" ht="12.75">
      <c r="A4" s="30" t="s">
        <v>77</v>
      </c>
      <c r="B4" s="1" t="str">
        <f>A4</f>
        <v>Suez </v>
      </c>
      <c r="C4" s="30" t="str">
        <f>A4</f>
        <v>Suez </v>
      </c>
      <c r="D4" s="155">
        <v>26.3</v>
      </c>
      <c r="E4" s="196">
        <v>2418</v>
      </c>
      <c r="F4" s="155">
        <v>22.66</v>
      </c>
      <c r="G4" s="196">
        <v>2084</v>
      </c>
      <c r="H4" s="155">
        <v>24.69</v>
      </c>
      <c r="I4" s="196">
        <v>2043</v>
      </c>
      <c r="J4" s="155">
        <v>21.35</v>
      </c>
      <c r="K4" s="196">
        <v>1563</v>
      </c>
      <c r="L4" s="157">
        <v>16.54</v>
      </c>
      <c r="M4" s="163">
        <v>1198</v>
      </c>
      <c r="N4" s="155">
        <v>20.22</v>
      </c>
      <c r="O4" s="196">
        <v>1465</v>
      </c>
      <c r="P4" s="155">
        <v>19.62</v>
      </c>
      <c r="Q4" s="196">
        <v>1422</v>
      </c>
      <c r="R4" s="14"/>
      <c r="S4" s="18"/>
      <c r="T4" s="14"/>
      <c r="U4" s="18"/>
      <c r="V4" s="14">
        <v>159.9</v>
      </c>
      <c r="W4" s="18">
        <v>2134</v>
      </c>
      <c r="X4" s="14">
        <v>174.9</v>
      </c>
      <c r="Y4" s="18">
        <v>2278</v>
      </c>
      <c r="Z4" s="17">
        <v>173.2</v>
      </c>
      <c r="AA4" s="18">
        <v>2197</v>
      </c>
      <c r="AB4" s="17">
        <f>1148/AN1</f>
        <v>175.0114717885471</v>
      </c>
      <c r="AC4" s="18">
        <f>85728/AM1</f>
        <v>2125.1416091760266</v>
      </c>
      <c r="AD4" s="17">
        <f>1029/AN1</f>
        <v>156.8700387372953</v>
      </c>
      <c r="AE4" s="18">
        <f>76396/AM1</f>
        <v>1893.8073718576397</v>
      </c>
      <c r="AF4" s="17">
        <f>995/AN1</f>
        <v>151.68677215122332</v>
      </c>
      <c r="AG4" s="18">
        <f>73440/AM1</f>
        <v>1820.5300459346702</v>
      </c>
      <c r="AH4" s="17">
        <f>889/AN1</f>
        <v>135.52717632405782</v>
      </c>
      <c r="AI4" s="18">
        <f>41140/AM1</f>
        <v>1019.8339609171069</v>
      </c>
      <c r="AJ4" s="4">
        <f>666/AN1</f>
        <v>101.53104548011531</v>
      </c>
      <c r="AK4" s="18">
        <f>28071/AM1</f>
        <v>695.8619133909604</v>
      </c>
      <c r="AL4" s="30" t="s">
        <v>6</v>
      </c>
    </row>
    <row r="5" spans="1:38" s="19" customFormat="1" ht="12.75">
      <c r="A5" s="30" t="s">
        <v>84</v>
      </c>
      <c r="B5" s="1" t="str">
        <f>A5</f>
        <v>Imerys (2)</v>
      </c>
      <c r="C5" s="30" t="str">
        <f>A5</f>
        <v>Imerys (2)</v>
      </c>
      <c r="D5" s="155">
        <v>61.1</v>
      </c>
      <c r="E5" s="196">
        <v>1023</v>
      </c>
      <c r="F5" s="155">
        <v>57.85</v>
      </c>
      <c r="G5" s="196">
        <v>969</v>
      </c>
      <c r="H5" s="155">
        <v>61.05</v>
      </c>
      <c r="I5" s="196">
        <v>1022</v>
      </c>
      <c r="J5" s="155">
        <v>56.6</v>
      </c>
      <c r="K5" s="196">
        <v>948</v>
      </c>
      <c r="L5" s="157">
        <v>47.22</v>
      </c>
      <c r="M5" s="163">
        <v>791</v>
      </c>
      <c r="N5" s="155">
        <v>59.1</v>
      </c>
      <c r="O5" s="196">
        <v>990</v>
      </c>
      <c r="P5" s="155">
        <v>61.75</v>
      </c>
      <c r="Q5" s="196">
        <v>1034</v>
      </c>
      <c r="R5" s="14"/>
      <c r="S5" s="15"/>
      <c r="T5" s="14"/>
      <c r="U5" s="15"/>
      <c r="V5" s="14">
        <v>149.1</v>
      </c>
      <c r="W5" s="15">
        <v>624</v>
      </c>
      <c r="X5" s="14">
        <v>144</v>
      </c>
      <c r="Y5" s="15">
        <v>603</v>
      </c>
      <c r="Z5" s="16">
        <v>99.6</v>
      </c>
      <c r="AA5" s="15">
        <v>417</v>
      </c>
      <c r="AB5" s="17">
        <f>560/AN1</f>
        <v>85.37144965294982</v>
      </c>
      <c r="AC5" s="18">
        <f>14416/AM1</f>
        <v>357.36330531310193</v>
      </c>
      <c r="AD5" s="17">
        <f>563/AN1</f>
        <v>85.82879670466204</v>
      </c>
      <c r="AE5" s="18">
        <f>14484/AM1</f>
        <v>359.0489812815599</v>
      </c>
      <c r="AF5" s="17">
        <f>831/AN1</f>
        <v>126.68513332428803</v>
      </c>
      <c r="AG5" s="18">
        <f>19136/AM1</f>
        <v>474.3690490060709</v>
      </c>
      <c r="AH5" s="17">
        <f>818/AN1</f>
        <v>124.7032961002017</v>
      </c>
      <c r="AI5" s="18">
        <f>16662/AM1</f>
        <v>413.0401909771715</v>
      </c>
      <c r="AJ5" s="4">
        <f>748/AN1</f>
        <v>114.03186489358296</v>
      </c>
      <c r="AK5" s="18">
        <f>15243/AM1</f>
        <v>377.8640998118488</v>
      </c>
      <c r="AL5" s="30" t="s">
        <v>6</v>
      </c>
    </row>
    <row r="6" spans="1:38" s="19" customFormat="1" ht="12.75">
      <c r="A6" s="30" t="s">
        <v>85</v>
      </c>
      <c r="B6" s="1" t="str">
        <f>A6</f>
        <v>Lafarge</v>
      </c>
      <c r="C6" s="30" t="str">
        <f>A6</f>
        <v>Lafarge</v>
      </c>
      <c r="D6" s="155">
        <v>76</v>
      </c>
      <c r="E6" s="195">
        <v>450</v>
      </c>
      <c r="F6" s="155"/>
      <c r="G6" s="195" t="s">
        <v>4</v>
      </c>
      <c r="H6" s="155"/>
      <c r="I6" s="195" t="s">
        <v>4</v>
      </c>
      <c r="J6" s="155"/>
      <c r="K6" s="195" t="s">
        <v>4</v>
      </c>
      <c r="L6" s="157"/>
      <c r="M6" s="163">
        <v>0</v>
      </c>
      <c r="N6" s="155"/>
      <c r="O6" s="195" t="s">
        <v>4</v>
      </c>
      <c r="P6" s="155"/>
      <c r="Q6" s="195" t="s">
        <v>4</v>
      </c>
      <c r="R6" s="14"/>
      <c r="S6" s="33"/>
      <c r="T6" s="14"/>
      <c r="U6" s="33"/>
      <c r="V6" s="33"/>
      <c r="W6" s="33" t="s">
        <v>16</v>
      </c>
      <c r="X6" s="34"/>
      <c r="Y6" s="33" t="s">
        <v>16</v>
      </c>
      <c r="Z6" s="35"/>
      <c r="AA6" s="33" t="s">
        <v>16</v>
      </c>
      <c r="AB6" s="36"/>
      <c r="AC6" s="33" t="s">
        <v>16</v>
      </c>
      <c r="AD6" s="36"/>
      <c r="AE6" s="33"/>
      <c r="AF6" s="36"/>
      <c r="AG6" s="33"/>
      <c r="AH6" s="36"/>
      <c r="AI6" s="18"/>
      <c r="AJ6" s="37"/>
      <c r="AK6" s="18"/>
      <c r="AL6" s="30"/>
    </row>
    <row r="7" spans="1:38" s="19" customFormat="1" ht="12.75">
      <c r="A7" s="30" t="s">
        <v>17</v>
      </c>
      <c r="B7" s="30" t="s">
        <v>18</v>
      </c>
      <c r="C7" s="30" t="s">
        <v>19</v>
      </c>
      <c r="D7" s="155"/>
      <c r="E7" s="196">
        <v>89</v>
      </c>
      <c r="F7" s="155"/>
      <c r="G7" s="196">
        <v>72</v>
      </c>
      <c r="H7" s="155"/>
      <c r="I7" s="196">
        <v>70</v>
      </c>
      <c r="J7" s="155"/>
      <c r="K7" s="196">
        <v>125</v>
      </c>
      <c r="L7" s="157"/>
      <c r="M7" s="163">
        <v>35</v>
      </c>
      <c r="N7" s="155"/>
      <c r="O7" s="196">
        <v>62</v>
      </c>
      <c r="P7" s="155"/>
      <c r="Q7" s="196">
        <v>49</v>
      </c>
      <c r="R7" s="34"/>
      <c r="S7" s="15"/>
      <c r="T7" s="34"/>
      <c r="U7" s="15"/>
      <c r="V7" s="34"/>
      <c r="W7" s="15">
        <v>266</v>
      </c>
      <c r="X7" s="34"/>
      <c r="Y7" s="15">
        <v>257</v>
      </c>
      <c r="Z7" s="35"/>
      <c r="AA7" s="15">
        <f>25+190</f>
        <v>215</v>
      </c>
      <c r="AB7" s="36" t="s">
        <v>3</v>
      </c>
      <c r="AC7" s="18">
        <f>7517/AM1+1</f>
        <v>187.34156257204407</v>
      </c>
      <c r="AD7" s="36" t="s">
        <v>3</v>
      </c>
      <c r="AE7" s="18">
        <f>10221/AM1</f>
        <v>253.371971670728</v>
      </c>
      <c r="AF7" s="36" t="s">
        <v>6</v>
      </c>
      <c r="AG7" s="18">
        <f>13264/AM1</f>
        <v>328.80597125922475</v>
      </c>
      <c r="AH7" s="36" t="s">
        <v>6</v>
      </c>
      <c r="AI7" s="18">
        <f>15670/AM1+1</f>
        <v>389.44915331966615</v>
      </c>
      <c r="AJ7" s="37" t="s">
        <v>6</v>
      </c>
      <c r="AK7" s="18">
        <f>22978/AM1</f>
        <v>569.6097412239495</v>
      </c>
      <c r="AL7" s="30" t="s">
        <v>6</v>
      </c>
    </row>
    <row r="8" spans="1:38" s="40" customFormat="1" ht="12.75">
      <c r="A8" s="38" t="s">
        <v>20</v>
      </c>
      <c r="B8" s="38" t="s">
        <v>21</v>
      </c>
      <c r="C8" s="38" t="s">
        <v>22</v>
      </c>
      <c r="D8" s="155"/>
      <c r="E8" s="196">
        <v>56</v>
      </c>
      <c r="F8" s="155"/>
      <c r="G8" s="196">
        <v>402</v>
      </c>
      <c r="H8" s="155"/>
      <c r="I8" s="196">
        <v>607</v>
      </c>
      <c r="J8" s="155"/>
      <c r="K8" s="196">
        <v>613</v>
      </c>
      <c r="L8" s="157"/>
      <c r="M8" s="163">
        <v>517</v>
      </c>
      <c r="N8" s="155"/>
      <c r="O8" s="196">
        <v>786</v>
      </c>
      <c r="P8" s="155"/>
      <c r="Q8" s="196">
        <v>725</v>
      </c>
      <c r="R8" s="39"/>
      <c r="T8" s="39"/>
      <c r="V8" s="39"/>
      <c r="W8" s="40">
        <v>392</v>
      </c>
      <c r="X8" s="39"/>
      <c r="Y8" s="40">
        <v>414</v>
      </c>
      <c r="Z8" s="41"/>
      <c r="AA8" s="40">
        <v>527</v>
      </c>
      <c r="AB8" s="42" t="s">
        <v>3</v>
      </c>
      <c r="AC8" s="42">
        <f>24308/AM1</f>
        <v>602.5795800187904</v>
      </c>
      <c r="AD8" s="42" t="s">
        <v>3</v>
      </c>
      <c r="AE8" s="42">
        <f>22554/AM1</f>
        <v>559.0990557735641</v>
      </c>
      <c r="AF8" s="42" t="s">
        <v>6</v>
      </c>
      <c r="AG8" s="42">
        <f>29104/AM1</f>
        <v>721.4693145000359</v>
      </c>
      <c r="AH8" s="42" t="s">
        <v>6</v>
      </c>
      <c r="AI8" s="42">
        <f>48989/AM1+1</f>
        <v>1215.4055885116225</v>
      </c>
      <c r="AJ8" s="38" t="s">
        <v>6</v>
      </c>
      <c r="AK8" s="42">
        <f>37124/AM1+1</f>
        <v>921.279921368174</v>
      </c>
      <c r="AL8" s="38" t="s">
        <v>6</v>
      </c>
    </row>
    <row r="9" spans="1:40" s="140" customFormat="1" ht="12.75">
      <c r="A9" s="113" t="s">
        <v>25</v>
      </c>
      <c r="B9" s="113" t="s">
        <v>26</v>
      </c>
      <c r="C9" s="113" t="s">
        <v>27</v>
      </c>
      <c r="D9" s="228"/>
      <c r="E9" s="231">
        <f>SUM(E2:E8)</f>
        <v>11110</v>
      </c>
      <c r="F9" s="228"/>
      <c r="G9" s="231">
        <f>SUM(G2:G8)</f>
        <v>10527</v>
      </c>
      <c r="H9" s="228"/>
      <c r="I9" s="231">
        <f>SUM(I2:I8)</f>
        <v>10766</v>
      </c>
      <c r="J9" s="228"/>
      <c r="K9" s="231">
        <f>SUM(K2:K8)</f>
        <v>9270</v>
      </c>
      <c r="L9" s="232"/>
      <c r="M9" s="141">
        <f>SUM(M2:M8)</f>
        <v>7704</v>
      </c>
      <c r="N9" s="228"/>
      <c r="O9" s="231">
        <f>SUM(O2:O8)</f>
        <v>9425</v>
      </c>
      <c r="P9" s="228"/>
      <c r="Q9" s="231">
        <f>SUM(Q2:Q8)</f>
        <v>8889</v>
      </c>
      <c r="R9" s="137"/>
      <c r="S9" s="99"/>
      <c r="T9" s="137"/>
      <c r="U9" s="99"/>
      <c r="V9" s="137"/>
      <c r="W9" s="99" t="e">
        <f>SUM(W3:W4:#REF!)-#REF!-#REF!</f>
        <v>#REF!</v>
      </c>
      <c r="X9" s="137"/>
      <c r="Y9" s="99" t="e">
        <f>SUM(Y3:Y4:#REF!)-#REF!-#REF!</f>
        <v>#REF!</v>
      </c>
      <c r="Z9" s="138"/>
      <c r="AA9" s="99" t="e">
        <f>SUM(AA3:AA4:#REF!)-#REF!-#REF!</f>
        <v>#REF!</v>
      </c>
      <c r="AB9" s="100" t="s">
        <v>3</v>
      </c>
      <c r="AC9" s="99" t="e">
        <f>SUM(AC3:AC4:#REF!)-#REF!-#REF!-1</f>
        <v>#REF!</v>
      </c>
      <c r="AD9" s="100" t="s">
        <v>3</v>
      </c>
      <c r="AE9" s="99">
        <f>SUM(AE4:AE8)</f>
        <v>3065.3273805834915</v>
      </c>
      <c r="AF9" s="100" t="s">
        <v>6</v>
      </c>
      <c r="AG9" s="99">
        <f>SUM(AG4:AG8)</f>
        <v>3345.174380700002</v>
      </c>
      <c r="AH9" s="100" t="s">
        <v>6</v>
      </c>
      <c r="AI9" s="116">
        <f>SUM(AI4:AI8)-2</f>
        <v>3035.728893725567</v>
      </c>
      <c r="AJ9" s="139" t="s">
        <v>6</v>
      </c>
      <c r="AK9" s="116">
        <f>SUM(AK4:AK8)-1</f>
        <v>2563.615675794933</v>
      </c>
      <c r="AL9" s="97" t="s">
        <v>6</v>
      </c>
      <c r="AM9" s="140">
        <f>236182/AM1</f>
        <v>5854.798846799323</v>
      </c>
      <c r="AN9" s="140">
        <f>214263/AM1</f>
        <v>5311.441029848859</v>
      </c>
    </row>
    <row r="10" spans="1:38" s="48" customFormat="1" ht="25.5">
      <c r="A10" s="118" t="s">
        <v>28</v>
      </c>
      <c r="B10" s="118" t="s">
        <v>29</v>
      </c>
      <c r="C10" s="118" t="s">
        <v>30</v>
      </c>
      <c r="D10" s="174"/>
      <c r="E10" s="198">
        <v>80.33</v>
      </c>
      <c r="F10" s="174"/>
      <c r="G10" s="198">
        <v>76.12</v>
      </c>
      <c r="H10" s="174"/>
      <c r="I10" s="198">
        <v>77.84</v>
      </c>
      <c r="J10" s="174"/>
      <c r="K10" s="198">
        <v>67.02</v>
      </c>
      <c r="L10" s="177"/>
      <c r="M10" s="175">
        <v>55.71</v>
      </c>
      <c r="N10" s="174"/>
      <c r="O10" s="198">
        <v>68.15</v>
      </c>
      <c r="P10" s="174"/>
      <c r="Q10" s="198">
        <v>64.27</v>
      </c>
      <c r="R10" s="45"/>
      <c r="S10" s="36"/>
      <c r="T10" s="45"/>
      <c r="U10" s="36"/>
      <c r="V10" s="45"/>
      <c r="W10" s="36">
        <v>289.33</v>
      </c>
      <c r="X10" s="45"/>
      <c r="Y10" s="36">
        <v>256.53</v>
      </c>
      <c r="Z10" s="35"/>
      <c r="AA10" s="36">
        <v>256.53</v>
      </c>
      <c r="AB10" s="36" t="s">
        <v>3</v>
      </c>
      <c r="AC10" s="36">
        <v>239.64</v>
      </c>
      <c r="AD10" s="36" t="s">
        <v>3</v>
      </c>
      <c r="AE10" s="36">
        <v>217.47</v>
      </c>
      <c r="AF10" s="47"/>
      <c r="AG10" s="36">
        <v>238.97</v>
      </c>
      <c r="AH10" s="36" t="s">
        <v>6</v>
      </c>
      <c r="AI10" s="47">
        <v>206.87</v>
      </c>
      <c r="AJ10" s="37" t="s">
        <v>6</v>
      </c>
      <c r="AK10" s="47">
        <v>178.36</v>
      </c>
      <c r="AL10" s="37" t="s">
        <v>6</v>
      </c>
    </row>
    <row r="11" spans="1:38" s="48" customFormat="1" ht="12.75">
      <c r="A11" s="118" t="s">
        <v>31</v>
      </c>
      <c r="B11" s="118" t="s">
        <v>32</v>
      </c>
      <c r="C11" s="118" t="s">
        <v>33</v>
      </c>
      <c r="D11" s="174"/>
      <c r="E11" s="199">
        <v>82.85</v>
      </c>
      <c r="F11" s="174"/>
      <c r="G11" s="199">
        <v>77.6</v>
      </c>
      <c r="H11" s="174"/>
      <c r="I11" s="199">
        <v>80.5</v>
      </c>
      <c r="J11" s="174"/>
      <c r="K11" s="199">
        <v>68.8</v>
      </c>
      <c r="L11" s="177"/>
      <c r="M11" s="178">
        <v>48.65</v>
      </c>
      <c r="N11" s="174"/>
      <c r="O11" s="199">
        <v>71</v>
      </c>
      <c r="P11" s="174"/>
      <c r="Q11" s="199">
        <v>59.9</v>
      </c>
      <c r="R11" s="45"/>
      <c r="T11" s="45"/>
      <c r="V11" s="45"/>
      <c r="W11" s="48">
        <v>186.9</v>
      </c>
      <c r="X11" s="45"/>
      <c r="Y11" s="48">
        <v>163.9</v>
      </c>
      <c r="Z11" s="35"/>
      <c r="AA11" s="48">
        <v>167.5</v>
      </c>
      <c r="AB11" s="46" t="s">
        <v>3</v>
      </c>
      <c r="AC11" s="46">
        <v>173.53</v>
      </c>
      <c r="AD11" s="46" t="s">
        <v>3</v>
      </c>
      <c r="AE11" s="46">
        <v>160.64</v>
      </c>
      <c r="AF11" s="36" t="s">
        <v>6</v>
      </c>
      <c r="AG11" s="36">
        <v>186.17</v>
      </c>
      <c r="AH11" s="36" t="s">
        <v>6</v>
      </c>
      <c r="AI11" s="36">
        <v>160.64</v>
      </c>
      <c r="AJ11" s="37" t="s">
        <v>6</v>
      </c>
      <c r="AK11" s="36">
        <v>132.87</v>
      </c>
      <c r="AL11" s="44" t="s">
        <v>6</v>
      </c>
    </row>
    <row r="12" spans="1:38" s="19" customFormat="1" ht="12.75">
      <c r="A12" s="126" t="s">
        <v>78</v>
      </c>
      <c r="B12" s="126" t="s">
        <v>82</v>
      </c>
      <c r="C12" s="126" t="s">
        <v>81</v>
      </c>
      <c r="D12" s="171"/>
      <c r="E12" s="197">
        <v>138300053</v>
      </c>
      <c r="F12" s="171"/>
      <c r="G12" s="197">
        <v>138300053</v>
      </c>
      <c r="H12" s="171"/>
      <c r="I12" s="197">
        <v>138300053</v>
      </c>
      <c r="J12" s="171"/>
      <c r="K12" s="197">
        <v>138300053</v>
      </c>
      <c r="L12" s="246"/>
      <c r="M12" s="172">
        <v>138300053</v>
      </c>
      <c r="N12" s="171"/>
      <c r="O12" s="197">
        <v>138300053</v>
      </c>
      <c r="P12" s="171"/>
      <c r="Q12" s="197">
        <v>138300053</v>
      </c>
      <c r="R12" s="34"/>
      <c r="S12" s="18"/>
      <c r="T12" s="34"/>
      <c r="U12" s="18"/>
      <c r="V12" s="34"/>
      <c r="W12" s="18">
        <v>24432025</v>
      </c>
      <c r="X12" s="34"/>
      <c r="Y12" s="18">
        <v>24432025</v>
      </c>
      <c r="Z12" s="35"/>
      <c r="AA12" s="18">
        <v>24432025</v>
      </c>
      <c r="AB12" s="36" t="s">
        <v>3</v>
      </c>
      <c r="AC12" s="18">
        <v>24432025</v>
      </c>
      <c r="AD12" s="36" t="s">
        <v>3</v>
      </c>
      <c r="AE12" s="18">
        <v>24458667</v>
      </c>
      <c r="AF12" s="36" t="s">
        <v>6</v>
      </c>
      <c r="AG12" s="18">
        <v>24402157</v>
      </c>
      <c r="AH12" s="36" t="s">
        <v>6</v>
      </c>
      <c r="AI12" s="18">
        <v>25783578</v>
      </c>
      <c r="AJ12" s="37" t="s">
        <v>6</v>
      </c>
      <c r="AK12" s="18">
        <v>25783578</v>
      </c>
      <c r="AL12" s="30" t="s">
        <v>6</v>
      </c>
    </row>
    <row r="14" spans="1:33" s="19" customFormat="1" ht="12.75" customHeight="1">
      <c r="A14"/>
      <c r="B14" s="57"/>
      <c r="C14" s="58"/>
      <c r="D14" s="224"/>
      <c r="E14" s="225"/>
      <c r="F14" s="224"/>
      <c r="G14" s="225"/>
      <c r="H14" s="224"/>
      <c r="I14" s="225"/>
      <c r="J14" s="224"/>
      <c r="K14" s="227"/>
      <c r="L14" s="75"/>
      <c r="M14" s="76"/>
      <c r="N14" s="224"/>
      <c r="O14" s="225"/>
      <c r="P14" s="224"/>
      <c r="Q14" s="227"/>
      <c r="R14" s="57"/>
      <c r="S14" s="60"/>
      <c r="T14" s="57"/>
      <c r="W14" s="36"/>
      <c r="X14" s="30"/>
      <c r="Y14" s="36"/>
      <c r="Z14" s="33"/>
      <c r="AA14" s="33"/>
      <c r="AB14" s="33"/>
      <c r="AC14" s="33"/>
      <c r="AD14" s="33"/>
      <c r="AE14" s="33"/>
      <c r="AF14" s="33"/>
      <c r="AG14" s="30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showGridLines="0" zoomScalePageLayoutView="0" workbookViewId="0" topLeftCell="A1">
      <selection activeCell="A43" sqref="A43"/>
    </sheetView>
  </sheetViews>
  <sheetFormatPr defaultColWidth="11.421875" defaultRowHeight="12.75"/>
  <cols>
    <col min="1" max="1" width="28.140625" style="0" bestFit="1" customWidth="1"/>
    <col min="2" max="2" width="35.8515625" style="0" bestFit="1" customWidth="1"/>
    <col min="3" max="3" width="32.00390625" style="0" bestFit="1" customWidth="1"/>
    <col min="4" max="4" width="11.57421875" style="191" customWidth="1"/>
    <col min="5" max="5" width="12.421875" style="203" customWidth="1"/>
    <col min="6" max="6" width="10.7109375" style="191" customWidth="1"/>
    <col min="7" max="7" width="11.421875" style="203" customWidth="1"/>
    <col min="8" max="8" width="11.421875" style="191" customWidth="1"/>
    <col min="9" max="9" width="12.7109375" style="203" customWidth="1"/>
    <col min="10" max="10" width="11.421875" style="191" customWidth="1"/>
    <col min="11" max="11" width="12.421875" style="203" customWidth="1"/>
    <col min="12" max="12" width="11.421875" style="191" customWidth="1"/>
    <col min="13" max="13" width="13.00390625" style="203" customWidth="1"/>
    <col min="14" max="14" width="11.421875" style="191" customWidth="1"/>
    <col min="15" max="15" width="12.421875" style="203" customWidth="1"/>
    <col min="16" max="16" width="11.421875" style="54" customWidth="1"/>
    <col min="17" max="17" width="12.28125" style="0" customWidth="1"/>
    <col min="18" max="18" width="11.421875" style="54" customWidth="1"/>
    <col min="19" max="19" width="11.421875" style="0" customWidth="1"/>
    <col min="20" max="20" width="9.140625" style="54" hidden="1" customWidth="1"/>
    <col min="21" max="21" width="9.140625" style="0" hidden="1" customWidth="1"/>
    <col min="22" max="22" width="9.140625" style="54" hidden="1" customWidth="1"/>
    <col min="23" max="23" width="9.140625" style="0" hidden="1" customWidth="1"/>
    <col min="24" max="24" width="11.57421875" style="55" hidden="1" customWidth="1"/>
    <col min="25" max="25" width="9.140625" style="0" hidden="1" customWidth="1"/>
    <col min="26" max="26" width="9.140625" style="55" hidden="1" customWidth="1"/>
    <col min="27" max="27" width="9.140625" style="0" hidden="1" customWidth="1"/>
    <col min="28" max="28" width="11.57421875" style="56" hidden="1" customWidth="1"/>
    <col min="29" max="31" width="9.140625" style="0" hidden="1" customWidth="1"/>
    <col min="32" max="35" width="11.421875" style="0" hidden="1" customWidth="1"/>
    <col min="36" max="36" width="11.421875" style="0" customWidth="1"/>
    <col min="37" max="38" width="9.140625" style="0" hidden="1" customWidth="1"/>
  </cols>
  <sheetData>
    <row r="1" spans="1:38" s="87" customFormat="1" ht="12.75">
      <c r="A1" s="79" t="s">
        <v>0</v>
      </c>
      <c r="B1" s="79" t="s">
        <v>1</v>
      </c>
      <c r="C1" s="79" t="s">
        <v>2</v>
      </c>
      <c r="D1" s="144"/>
      <c r="E1" s="192">
        <v>39082</v>
      </c>
      <c r="F1" s="144"/>
      <c r="G1" s="192">
        <v>39028</v>
      </c>
      <c r="H1" s="144"/>
      <c r="I1" s="192">
        <v>38971</v>
      </c>
      <c r="J1" s="144"/>
      <c r="K1" s="192">
        <v>38839</v>
      </c>
      <c r="L1" s="144"/>
      <c r="M1" s="192">
        <v>38803</v>
      </c>
      <c r="N1" s="144"/>
      <c r="O1" s="192">
        <v>38717</v>
      </c>
      <c r="P1" s="79"/>
      <c r="Q1" s="79"/>
      <c r="R1" s="82"/>
      <c r="S1" s="81"/>
      <c r="T1" s="82"/>
      <c r="U1" s="81">
        <v>36420</v>
      </c>
      <c r="V1" s="82"/>
      <c r="W1" s="81">
        <v>36341</v>
      </c>
      <c r="X1" s="81"/>
      <c r="Y1" s="81">
        <v>36231</v>
      </c>
      <c r="Z1" s="81"/>
      <c r="AA1" s="81">
        <v>36160</v>
      </c>
      <c r="AB1" s="83"/>
      <c r="AC1" s="81">
        <v>36052</v>
      </c>
      <c r="AD1" s="84" t="s">
        <v>3</v>
      </c>
      <c r="AE1" s="85">
        <v>35976</v>
      </c>
      <c r="AF1" s="84" t="s">
        <v>3</v>
      </c>
      <c r="AG1" s="85">
        <v>35884</v>
      </c>
      <c r="AH1" s="86" t="s">
        <v>3</v>
      </c>
      <c r="AI1" s="85">
        <v>35795</v>
      </c>
      <c r="AK1" s="87">
        <v>40.3399</v>
      </c>
      <c r="AL1" s="87">
        <v>6.55957</v>
      </c>
    </row>
    <row r="2" spans="1:35" s="11" customFormat="1" ht="12.75">
      <c r="A2" s="1" t="s">
        <v>65</v>
      </c>
      <c r="B2" s="1" t="str">
        <f>A2</f>
        <v>Bertelsmann (1)</v>
      </c>
      <c r="C2" s="1" t="str">
        <f>A2</f>
        <v>Bertelsmann (1)</v>
      </c>
      <c r="D2" s="149" t="s">
        <v>4</v>
      </c>
      <c r="E2" s="193">
        <v>0</v>
      </c>
      <c r="F2" s="149" t="s">
        <v>4</v>
      </c>
      <c r="G2" s="193">
        <v>0</v>
      </c>
      <c r="H2" s="149" t="s">
        <v>4</v>
      </c>
      <c r="I2" s="193">
        <v>0</v>
      </c>
      <c r="J2" s="149" t="s">
        <v>4</v>
      </c>
      <c r="K2" s="193">
        <v>2103</v>
      </c>
      <c r="L2" s="149" t="s">
        <v>4</v>
      </c>
      <c r="M2" s="193">
        <v>2090</v>
      </c>
      <c r="N2" s="149" t="s">
        <v>4</v>
      </c>
      <c r="O2" s="193">
        <v>2090</v>
      </c>
      <c r="P2" s="5"/>
      <c r="Q2" s="6"/>
      <c r="R2" s="5"/>
      <c r="S2" s="6"/>
      <c r="T2" s="5"/>
      <c r="U2" s="6"/>
      <c r="V2" s="5"/>
      <c r="W2" s="6"/>
      <c r="X2" s="6"/>
      <c r="Y2" s="6"/>
      <c r="Z2" s="6"/>
      <c r="AA2" s="6"/>
      <c r="AB2" s="7"/>
      <c r="AC2" s="6"/>
      <c r="AD2" s="8"/>
      <c r="AE2" s="9"/>
      <c r="AF2" s="8"/>
      <c r="AG2" s="9"/>
      <c r="AH2" s="10"/>
      <c r="AI2" s="9"/>
    </row>
    <row r="3" spans="1:36" s="19" customFormat="1" ht="12.75">
      <c r="A3" s="1" t="s">
        <v>86</v>
      </c>
      <c r="B3" s="1" t="s">
        <v>86</v>
      </c>
      <c r="C3" s="1" t="s">
        <v>86</v>
      </c>
      <c r="D3" s="149">
        <v>145</v>
      </c>
      <c r="E3" s="194">
        <v>446</v>
      </c>
      <c r="F3" s="149" t="s">
        <v>4</v>
      </c>
      <c r="G3" s="194">
        <v>0</v>
      </c>
      <c r="H3" s="149" t="s">
        <v>4</v>
      </c>
      <c r="I3" s="194">
        <v>0</v>
      </c>
      <c r="J3" s="149" t="s">
        <v>4</v>
      </c>
      <c r="K3" s="194">
        <v>0</v>
      </c>
      <c r="L3" s="149" t="s">
        <v>4</v>
      </c>
      <c r="M3" s="194">
        <v>0</v>
      </c>
      <c r="N3" s="149" t="s">
        <v>4</v>
      </c>
      <c r="O3" s="194">
        <v>0</v>
      </c>
      <c r="P3" s="14"/>
      <c r="Q3" s="15"/>
      <c r="R3" s="14"/>
      <c r="S3" s="15"/>
      <c r="T3" s="14">
        <v>48.35</v>
      </c>
      <c r="U3" s="15">
        <v>1302</v>
      </c>
      <c r="V3" s="14">
        <v>46.55</v>
      </c>
      <c r="W3" s="15">
        <v>1242</v>
      </c>
      <c r="X3" s="16">
        <v>37.45</v>
      </c>
      <c r="Y3" s="15">
        <v>991</v>
      </c>
      <c r="Z3" s="17">
        <f>1550/AK1</f>
        <v>38.42349633985211</v>
      </c>
      <c r="AA3" s="18">
        <f>40072/AK1</f>
        <v>993.3589324713249</v>
      </c>
      <c r="AB3" s="17">
        <f>1498/AK1</f>
        <v>37.13445001103126</v>
      </c>
      <c r="AC3" s="18">
        <f>38499/AK1</f>
        <v>954.3652810244944</v>
      </c>
      <c r="AD3" s="17">
        <f>1520/AK1</f>
        <v>37.67981576553239</v>
      </c>
      <c r="AE3" s="18">
        <f>38837/AK1</f>
        <v>962.7440821618299</v>
      </c>
      <c r="AF3" s="17">
        <f>1510/AK1</f>
        <v>37.43192224075915</v>
      </c>
      <c r="AG3" s="18">
        <f>26966/AK1</f>
        <v>668.4696789035173</v>
      </c>
      <c r="AH3" s="4">
        <f>1510/AK1</f>
        <v>37.43192224075915</v>
      </c>
      <c r="AI3" s="18">
        <f>25184/AK1</f>
        <v>624.2950527889261</v>
      </c>
      <c r="AJ3" s="12" t="s">
        <v>6</v>
      </c>
    </row>
    <row r="4" spans="1:36" s="19" customFormat="1" ht="12.75">
      <c r="A4" s="30" t="s">
        <v>83</v>
      </c>
      <c r="B4" s="1" t="str">
        <f>A4</f>
        <v>Total</v>
      </c>
      <c r="C4" s="30" t="str">
        <f>A4</f>
        <v>Total</v>
      </c>
      <c r="D4" s="155">
        <v>54.65</v>
      </c>
      <c r="E4" s="196">
        <v>5134</v>
      </c>
      <c r="F4" s="155">
        <v>54.4</v>
      </c>
      <c r="G4" s="196">
        <v>5110</v>
      </c>
      <c r="H4" s="155">
        <v>50.15</v>
      </c>
      <c r="I4" s="196">
        <v>4711</v>
      </c>
      <c r="J4" s="155">
        <v>55.4</v>
      </c>
      <c r="K4" s="196">
        <v>5204</v>
      </c>
      <c r="L4" s="155">
        <v>53.75</v>
      </c>
      <c r="M4" s="196">
        <v>5049</v>
      </c>
      <c r="N4" s="155">
        <v>53.05</v>
      </c>
      <c r="O4" s="196">
        <v>4984</v>
      </c>
      <c r="P4" s="14"/>
      <c r="Q4" s="15"/>
      <c r="R4" s="14"/>
      <c r="S4" s="15"/>
      <c r="T4" s="14">
        <v>120.9</v>
      </c>
      <c r="U4" s="15">
        <v>2351</v>
      </c>
      <c r="V4" s="14">
        <v>125.1</v>
      </c>
      <c r="W4" s="15">
        <v>2399</v>
      </c>
      <c r="X4" s="32">
        <f>460.3/4.5</f>
        <v>102.28888888888889</v>
      </c>
      <c r="Y4" s="15">
        <v>1921</v>
      </c>
      <c r="Z4" s="17">
        <v>86.76</v>
      </c>
      <c r="AA4" s="18">
        <v>1590</v>
      </c>
      <c r="AB4" s="17" t="e">
        <f>12875/(#REF!*4.5)</f>
        <v>#REF!</v>
      </c>
      <c r="AC4" s="18" t="e">
        <f>52109/#REF!</f>
        <v>#REF!</v>
      </c>
      <c r="AD4" s="17" t="e">
        <f>15275/(#REF!*4.5)</f>
        <v>#REF!</v>
      </c>
      <c r="AE4" s="18" t="e">
        <f>61445/#REF!</f>
        <v>#REF!</v>
      </c>
      <c r="AF4" s="17" t="e">
        <f>13950/#REF!</f>
        <v>#REF!</v>
      </c>
      <c r="AG4" s="18" t="e">
        <f>38455/#REF!</f>
        <v>#REF!</v>
      </c>
      <c r="AH4" s="4" t="e">
        <f>13675/#REF!</f>
        <v>#REF!</v>
      </c>
      <c r="AI4" s="18" t="e">
        <f>35072/#REF!</f>
        <v>#REF!</v>
      </c>
      <c r="AJ4" s="30" t="s">
        <v>6</v>
      </c>
    </row>
    <row r="5" spans="1:36" s="19" customFormat="1" ht="12.75">
      <c r="A5" s="30" t="s">
        <v>87</v>
      </c>
      <c r="B5" s="1" t="str">
        <f>A5</f>
        <v>Suez</v>
      </c>
      <c r="C5" s="30" t="str">
        <f>A5</f>
        <v>Suez</v>
      </c>
      <c r="D5" s="155">
        <v>39.23</v>
      </c>
      <c r="E5" s="196">
        <v>3990</v>
      </c>
      <c r="F5" s="155">
        <v>36.06</v>
      </c>
      <c r="G5" s="196">
        <v>3668</v>
      </c>
      <c r="H5" s="155">
        <v>33.2</v>
      </c>
      <c r="I5" s="196">
        <v>3377</v>
      </c>
      <c r="J5" s="155">
        <v>32.29</v>
      </c>
      <c r="K5" s="196">
        <v>2969</v>
      </c>
      <c r="L5" s="155">
        <v>33.2</v>
      </c>
      <c r="M5" s="196">
        <v>3053</v>
      </c>
      <c r="N5" s="155">
        <v>26.3</v>
      </c>
      <c r="O5" s="196">
        <v>2418</v>
      </c>
      <c r="P5" s="14"/>
      <c r="Q5" s="18"/>
      <c r="R5" s="14"/>
      <c r="S5" s="18"/>
      <c r="T5" s="14">
        <v>159.9</v>
      </c>
      <c r="U5" s="18">
        <v>2134</v>
      </c>
      <c r="V5" s="14">
        <v>174.9</v>
      </c>
      <c r="W5" s="18">
        <v>2278</v>
      </c>
      <c r="X5" s="17">
        <v>173.2</v>
      </c>
      <c r="Y5" s="18">
        <v>2197</v>
      </c>
      <c r="Z5" s="17">
        <f>1148/AL1</f>
        <v>175.0114717885471</v>
      </c>
      <c r="AA5" s="18">
        <f>85728/AK1</f>
        <v>2125.1416091760266</v>
      </c>
      <c r="AB5" s="17">
        <f>1029/AL1</f>
        <v>156.8700387372953</v>
      </c>
      <c r="AC5" s="18">
        <f>76396/AK1</f>
        <v>1893.8073718576397</v>
      </c>
      <c r="AD5" s="17">
        <f>995/AL1</f>
        <v>151.68677215122332</v>
      </c>
      <c r="AE5" s="18">
        <f>73440/AK1</f>
        <v>1820.5300459346702</v>
      </c>
      <c r="AF5" s="17">
        <f>889/AL1</f>
        <v>135.52717632405782</v>
      </c>
      <c r="AG5" s="18">
        <f>41140/AK1</f>
        <v>1019.8339609171069</v>
      </c>
      <c r="AH5" s="4">
        <f>666/AL1</f>
        <v>101.53104548011531</v>
      </c>
      <c r="AI5" s="18">
        <f>28071/AK1</f>
        <v>695.8619133909604</v>
      </c>
      <c r="AJ5" s="30" t="s">
        <v>6</v>
      </c>
    </row>
    <row r="6" spans="1:36" s="19" customFormat="1" ht="12.75">
      <c r="A6" s="30" t="s">
        <v>88</v>
      </c>
      <c r="B6" s="1" t="str">
        <f>A6</f>
        <v>Imerys </v>
      </c>
      <c r="C6" s="30" t="str">
        <f>A6</f>
        <v>Imerys </v>
      </c>
      <c r="D6" s="155">
        <v>67.4</v>
      </c>
      <c r="E6" s="196">
        <v>1129</v>
      </c>
      <c r="F6" s="155">
        <v>67.85</v>
      </c>
      <c r="G6" s="196">
        <v>1136</v>
      </c>
      <c r="H6" s="155">
        <v>60.35</v>
      </c>
      <c r="I6" s="196">
        <v>1011</v>
      </c>
      <c r="J6" s="155">
        <v>69.8</v>
      </c>
      <c r="K6" s="196">
        <v>1169</v>
      </c>
      <c r="L6" s="155">
        <v>69.65</v>
      </c>
      <c r="M6" s="196">
        <v>1166</v>
      </c>
      <c r="N6" s="155">
        <v>61.1</v>
      </c>
      <c r="O6" s="196">
        <v>1023</v>
      </c>
      <c r="P6" s="14"/>
      <c r="Q6" s="15"/>
      <c r="R6" s="14"/>
      <c r="S6" s="15"/>
      <c r="T6" s="14">
        <v>149.1</v>
      </c>
      <c r="U6" s="15">
        <v>624</v>
      </c>
      <c r="V6" s="14">
        <v>144</v>
      </c>
      <c r="W6" s="15">
        <v>603</v>
      </c>
      <c r="X6" s="16">
        <v>99.6</v>
      </c>
      <c r="Y6" s="15">
        <v>417</v>
      </c>
      <c r="Z6" s="17">
        <f>560/AL1</f>
        <v>85.37144965294982</v>
      </c>
      <c r="AA6" s="18">
        <f>14416/AK1</f>
        <v>357.36330531310193</v>
      </c>
      <c r="AB6" s="17">
        <f>563/AL1</f>
        <v>85.82879670466204</v>
      </c>
      <c r="AC6" s="18">
        <f>14484/AK1</f>
        <v>359.0489812815599</v>
      </c>
      <c r="AD6" s="17">
        <f>831/AL1</f>
        <v>126.68513332428803</v>
      </c>
      <c r="AE6" s="18">
        <f>19136/AK1</f>
        <v>474.3690490060709</v>
      </c>
      <c r="AF6" s="17">
        <f>818/AL1</f>
        <v>124.7032961002017</v>
      </c>
      <c r="AG6" s="18">
        <f>16662/AK1</f>
        <v>413.0401909771715</v>
      </c>
      <c r="AH6" s="4">
        <f>748/AL1</f>
        <v>114.03186489358296</v>
      </c>
      <c r="AI6" s="18">
        <f>15243/AK1</f>
        <v>377.8640998118488</v>
      </c>
      <c r="AJ6" s="30" t="s">
        <v>6</v>
      </c>
    </row>
    <row r="7" spans="1:36" s="19" customFormat="1" ht="12.75">
      <c r="A7" s="12" t="s">
        <v>85</v>
      </c>
      <c r="B7" s="1" t="str">
        <f>A7</f>
        <v>Lafarge</v>
      </c>
      <c r="C7" s="30" t="str">
        <f>A7</f>
        <v>Lafarge</v>
      </c>
      <c r="D7" s="155">
        <v>112.7</v>
      </c>
      <c r="E7" s="195">
        <v>3170</v>
      </c>
      <c r="F7" s="155">
        <v>106.3</v>
      </c>
      <c r="G7" s="195">
        <v>2476</v>
      </c>
      <c r="H7" s="155">
        <v>99.45</v>
      </c>
      <c r="I7" s="195">
        <v>1974</v>
      </c>
      <c r="J7" s="155">
        <v>98.55</v>
      </c>
      <c r="K7" s="195">
        <v>1599</v>
      </c>
      <c r="L7" s="155">
        <v>90.3</v>
      </c>
      <c r="M7" s="195">
        <v>1293</v>
      </c>
      <c r="N7" s="155">
        <v>76</v>
      </c>
      <c r="O7" s="195">
        <v>450</v>
      </c>
      <c r="P7" s="14"/>
      <c r="Q7" s="33"/>
      <c r="R7" s="14"/>
      <c r="S7" s="33"/>
      <c r="T7" s="33"/>
      <c r="U7" s="33" t="s">
        <v>16</v>
      </c>
      <c r="V7" s="34"/>
      <c r="W7" s="33" t="s">
        <v>16</v>
      </c>
      <c r="X7" s="35"/>
      <c r="Y7" s="33" t="s">
        <v>16</v>
      </c>
      <c r="Z7" s="36"/>
      <c r="AA7" s="33" t="s">
        <v>16</v>
      </c>
      <c r="AB7" s="36"/>
      <c r="AC7" s="33"/>
      <c r="AD7" s="36"/>
      <c r="AE7" s="33"/>
      <c r="AF7" s="36"/>
      <c r="AG7" s="18"/>
      <c r="AH7" s="37"/>
      <c r="AI7" s="18"/>
      <c r="AJ7" s="30"/>
    </row>
    <row r="8" spans="1:36" s="19" customFormat="1" ht="12.75">
      <c r="A8" s="30" t="s">
        <v>17</v>
      </c>
      <c r="B8" s="30" t="s">
        <v>18</v>
      </c>
      <c r="C8" s="30" t="s">
        <v>19</v>
      </c>
      <c r="D8" s="155"/>
      <c r="E8" s="196">
        <v>258</v>
      </c>
      <c r="F8" s="155"/>
      <c r="G8" s="196">
        <v>238</v>
      </c>
      <c r="H8" s="155"/>
      <c r="I8" s="196">
        <v>206</v>
      </c>
      <c r="J8" s="155"/>
      <c r="K8" s="196">
        <v>125</v>
      </c>
      <c r="L8" s="155"/>
      <c r="M8" s="196">
        <v>94</v>
      </c>
      <c r="N8" s="155"/>
      <c r="O8" s="196">
        <v>89</v>
      </c>
      <c r="P8" s="34"/>
      <c r="Q8" s="15"/>
      <c r="R8" s="34"/>
      <c r="S8" s="15"/>
      <c r="T8" s="34"/>
      <c r="U8" s="15">
        <v>266</v>
      </c>
      <c r="V8" s="34"/>
      <c r="W8" s="15">
        <v>257</v>
      </c>
      <c r="X8" s="35"/>
      <c r="Y8" s="15">
        <f>25+190</f>
        <v>215</v>
      </c>
      <c r="Z8" s="36" t="s">
        <v>3</v>
      </c>
      <c r="AA8" s="18">
        <f>7517/AK1+1</f>
        <v>187.34156257204407</v>
      </c>
      <c r="AB8" s="36" t="s">
        <v>3</v>
      </c>
      <c r="AC8" s="18">
        <f>10221/AK1</f>
        <v>253.371971670728</v>
      </c>
      <c r="AD8" s="36" t="s">
        <v>6</v>
      </c>
      <c r="AE8" s="18">
        <f>13264/AK1</f>
        <v>328.80597125922475</v>
      </c>
      <c r="AF8" s="36" t="s">
        <v>6</v>
      </c>
      <c r="AG8" s="18">
        <f>15670/AK1+1</f>
        <v>389.44915331966615</v>
      </c>
      <c r="AH8" s="37" t="s">
        <v>6</v>
      </c>
      <c r="AI8" s="18">
        <f>22978/AK1</f>
        <v>569.6097412239495</v>
      </c>
      <c r="AJ8" s="30" t="s">
        <v>6</v>
      </c>
    </row>
    <row r="9" spans="1:36" s="40" customFormat="1" ht="25.5">
      <c r="A9" s="38" t="s">
        <v>89</v>
      </c>
      <c r="B9" s="38" t="s">
        <v>90</v>
      </c>
      <c r="C9" s="38" t="s">
        <v>91</v>
      </c>
      <c r="D9" s="155"/>
      <c r="E9" s="196">
        <v>2636</v>
      </c>
      <c r="F9" s="155"/>
      <c r="G9" s="196">
        <v>3487</v>
      </c>
      <c r="H9" s="155"/>
      <c r="I9" s="196">
        <v>3794</v>
      </c>
      <c r="J9" s="155"/>
      <c r="K9" s="196">
        <v>-347</v>
      </c>
      <c r="L9" s="155"/>
      <c r="M9" s="196">
        <v>-606</v>
      </c>
      <c r="N9" s="155"/>
      <c r="O9" s="196">
        <v>56</v>
      </c>
      <c r="P9" s="39"/>
      <c r="R9" s="39"/>
      <c r="T9" s="39"/>
      <c r="U9" s="40">
        <v>392</v>
      </c>
      <c r="V9" s="39"/>
      <c r="W9" s="40">
        <v>414</v>
      </c>
      <c r="X9" s="41"/>
      <c r="Y9" s="40">
        <v>527</v>
      </c>
      <c r="Z9" s="42" t="s">
        <v>3</v>
      </c>
      <c r="AA9" s="42">
        <f>24308/AK1</f>
        <v>602.5795800187904</v>
      </c>
      <c r="AB9" s="42" t="s">
        <v>3</v>
      </c>
      <c r="AC9" s="42">
        <f>22554/AK1</f>
        <v>559.0990557735641</v>
      </c>
      <c r="AD9" s="42" t="s">
        <v>6</v>
      </c>
      <c r="AE9" s="42">
        <f>29104/AK1</f>
        <v>721.4693145000359</v>
      </c>
      <c r="AF9" s="42" t="s">
        <v>6</v>
      </c>
      <c r="AG9" s="42">
        <f>48989/AK1+1</f>
        <v>1215.4055885116225</v>
      </c>
      <c r="AH9" s="38" t="s">
        <v>6</v>
      </c>
      <c r="AI9" s="42">
        <f>37124/AK1+1</f>
        <v>921.279921368174</v>
      </c>
      <c r="AJ9" s="38" t="s">
        <v>6</v>
      </c>
    </row>
    <row r="10" spans="1:38" s="237" customFormat="1" ht="12.75">
      <c r="A10" s="113" t="s">
        <v>25</v>
      </c>
      <c r="B10" s="113" t="s">
        <v>26</v>
      </c>
      <c r="C10" s="113" t="s">
        <v>27</v>
      </c>
      <c r="D10" s="228"/>
      <c r="E10" s="231">
        <f>SUM(E2:E9)</f>
        <v>16763</v>
      </c>
      <c r="F10" s="228"/>
      <c r="G10" s="231">
        <f>SUM(G2:G9)</f>
        <v>16115</v>
      </c>
      <c r="H10" s="228"/>
      <c r="I10" s="231">
        <f>SUM(I2:I9)</f>
        <v>15073</v>
      </c>
      <c r="J10" s="228"/>
      <c r="K10" s="231">
        <f>SUM(K2:K9)</f>
        <v>12822</v>
      </c>
      <c r="L10" s="228"/>
      <c r="M10" s="231">
        <f>SUM(M2:M9)</f>
        <v>12139</v>
      </c>
      <c r="N10" s="228"/>
      <c r="O10" s="231">
        <f>SUM(O2:O9)</f>
        <v>11110</v>
      </c>
      <c r="P10" s="233"/>
      <c r="Q10" s="116"/>
      <c r="R10" s="233"/>
      <c r="S10" s="116"/>
      <c r="T10" s="233"/>
      <c r="U10" s="116" t="e">
        <f>SUM(U3:U5:#REF!)-#REF!-#REF!</f>
        <v>#REF!</v>
      </c>
      <c r="V10" s="233"/>
      <c r="W10" s="116" t="e">
        <f>SUM(W3:W5:#REF!)-#REF!-#REF!</f>
        <v>#REF!</v>
      </c>
      <c r="X10" s="234"/>
      <c r="Y10" s="116" t="e">
        <f>SUM(Y3:Y5:#REF!)-#REF!-#REF!</f>
        <v>#REF!</v>
      </c>
      <c r="Z10" s="235" t="s">
        <v>3</v>
      </c>
      <c r="AA10" s="116" t="e">
        <f>SUM(AA3:AA5:#REF!)-#REF!-#REF!-1</f>
        <v>#REF!</v>
      </c>
      <c r="AB10" s="235" t="s">
        <v>3</v>
      </c>
      <c r="AC10" s="116">
        <f>SUM(AC5:AC9)</f>
        <v>3065.3273805834915</v>
      </c>
      <c r="AD10" s="235" t="s">
        <v>6</v>
      </c>
      <c r="AE10" s="116">
        <f>SUM(AE5:AE9)</f>
        <v>3345.174380700002</v>
      </c>
      <c r="AF10" s="235" t="s">
        <v>6</v>
      </c>
      <c r="AG10" s="116">
        <f>SUM(AG5:AG9)-2</f>
        <v>3035.728893725567</v>
      </c>
      <c r="AH10" s="236" t="s">
        <v>6</v>
      </c>
      <c r="AI10" s="116">
        <f>SUM(AI5:AI9)-1</f>
        <v>2563.615675794933</v>
      </c>
      <c r="AJ10" s="113" t="s">
        <v>6</v>
      </c>
      <c r="AK10" s="237">
        <f>236182/AK1</f>
        <v>5854.798846799323</v>
      </c>
      <c r="AL10" s="237">
        <f>214263/AK1</f>
        <v>5311.441029848859</v>
      </c>
    </row>
    <row r="11" spans="1:36" s="179" customFormat="1" ht="25.5">
      <c r="A11" s="178" t="s">
        <v>28</v>
      </c>
      <c r="B11" s="178" t="s">
        <v>29</v>
      </c>
      <c r="C11" s="178" t="s">
        <v>30</v>
      </c>
      <c r="D11" s="174"/>
      <c r="E11" s="198">
        <v>113.91</v>
      </c>
      <c r="F11" s="174"/>
      <c r="G11" s="198">
        <v>109.5</v>
      </c>
      <c r="H11" s="174"/>
      <c r="I11" s="198">
        <v>102.42</v>
      </c>
      <c r="J11" s="174"/>
      <c r="K11" s="198">
        <v>87.13</v>
      </c>
      <c r="L11" s="174"/>
      <c r="M11" s="198">
        <v>87.77</v>
      </c>
      <c r="N11" s="174"/>
      <c r="O11" s="198">
        <v>80.33</v>
      </c>
      <c r="P11" s="177"/>
      <c r="Q11" s="176"/>
      <c r="R11" s="177"/>
      <c r="S11" s="176"/>
      <c r="T11" s="177"/>
      <c r="U11" s="176">
        <v>289.33</v>
      </c>
      <c r="V11" s="177"/>
      <c r="W11" s="176">
        <v>256.53</v>
      </c>
      <c r="X11" s="249"/>
      <c r="Y11" s="176">
        <v>256.53</v>
      </c>
      <c r="Z11" s="176" t="s">
        <v>3</v>
      </c>
      <c r="AA11" s="176">
        <v>239.64</v>
      </c>
      <c r="AB11" s="176" t="s">
        <v>3</v>
      </c>
      <c r="AC11" s="176">
        <v>217.47</v>
      </c>
      <c r="AD11" s="176"/>
      <c r="AE11" s="176">
        <v>238.97</v>
      </c>
      <c r="AF11" s="176" t="s">
        <v>6</v>
      </c>
      <c r="AG11" s="176">
        <v>206.87</v>
      </c>
      <c r="AH11" s="250" t="s">
        <v>6</v>
      </c>
      <c r="AI11" s="176">
        <v>178.36</v>
      </c>
      <c r="AJ11" s="250" t="s">
        <v>6</v>
      </c>
    </row>
    <row r="12" spans="1:36" s="179" customFormat="1" ht="12.75">
      <c r="A12" s="178" t="s">
        <v>31</v>
      </c>
      <c r="B12" s="178" t="s">
        <v>32</v>
      </c>
      <c r="C12" s="178" t="s">
        <v>33</v>
      </c>
      <c r="D12" s="174"/>
      <c r="E12" s="199">
        <v>91.05</v>
      </c>
      <c r="F12" s="174"/>
      <c r="G12" s="199">
        <v>87.7</v>
      </c>
      <c r="H12" s="174"/>
      <c r="I12" s="199">
        <v>81.15</v>
      </c>
      <c r="J12" s="174"/>
      <c r="K12" s="199">
        <v>89.9</v>
      </c>
      <c r="L12" s="174"/>
      <c r="M12" s="199">
        <v>92.2</v>
      </c>
      <c r="N12" s="174"/>
      <c r="O12" s="199">
        <v>82.85</v>
      </c>
      <c r="P12" s="177"/>
      <c r="R12" s="177"/>
      <c r="T12" s="177"/>
      <c r="U12" s="179">
        <v>186.9</v>
      </c>
      <c r="V12" s="177"/>
      <c r="W12" s="179">
        <v>163.9</v>
      </c>
      <c r="X12" s="249"/>
      <c r="Y12" s="179">
        <v>167.5</v>
      </c>
      <c r="Z12" s="175" t="s">
        <v>3</v>
      </c>
      <c r="AA12" s="175">
        <v>173.53</v>
      </c>
      <c r="AB12" s="175" t="s">
        <v>3</v>
      </c>
      <c r="AC12" s="175">
        <v>160.64</v>
      </c>
      <c r="AD12" s="176" t="s">
        <v>6</v>
      </c>
      <c r="AE12" s="176">
        <v>186.17</v>
      </c>
      <c r="AF12" s="176" t="s">
        <v>6</v>
      </c>
      <c r="AG12" s="176">
        <v>160.64</v>
      </c>
      <c r="AH12" s="250" t="s">
        <v>6</v>
      </c>
      <c r="AI12" s="176">
        <v>132.87</v>
      </c>
      <c r="AJ12" s="178" t="s">
        <v>6</v>
      </c>
    </row>
    <row r="13" spans="1:36" s="251" customFormat="1" ht="12.75">
      <c r="A13" s="248" t="s">
        <v>78</v>
      </c>
      <c r="B13" s="248" t="s">
        <v>82</v>
      </c>
      <c r="C13" s="248" t="s">
        <v>81</v>
      </c>
      <c r="D13" s="171"/>
      <c r="E13" s="197">
        <v>147167666</v>
      </c>
      <c r="F13" s="171"/>
      <c r="G13" s="197">
        <v>147167666</v>
      </c>
      <c r="H13" s="171"/>
      <c r="I13" s="197">
        <v>147167666</v>
      </c>
      <c r="J13" s="171"/>
      <c r="K13" s="197">
        <v>147167666</v>
      </c>
      <c r="L13" s="171"/>
      <c r="M13" s="197">
        <v>138300053</v>
      </c>
      <c r="N13" s="171"/>
      <c r="O13" s="197">
        <v>138300053</v>
      </c>
      <c r="P13" s="184"/>
      <c r="Q13" s="173"/>
      <c r="R13" s="184"/>
      <c r="S13" s="173"/>
      <c r="T13" s="184"/>
      <c r="U13" s="173">
        <v>24432025</v>
      </c>
      <c r="V13" s="184"/>
      <c r="W13" s="173">
        <v>24432025</v>
      </c>
      <c r="X13" s="249"/>
      <c r="Y13" s="173">
        <v>24432025</v>
      </c>
      <c r="Z13" s="176" t="s">
        <v>3</v>
      </c>
      <c r="AA13" s="173">
        <v>24432025</v>
      </c>
      <c r="AB13" s="176" t="s">
        <v>3</v>
      </c>
      <c r="AC13" s="173">
        <v>24458667</v>
      </c>
      <c r="AD13" s="176" t="s">
        <v>6</v>
      </c>
      <c r="AE13" s="173">
        <v>24402157</v>
      </c>
      <c r="AF13" s="176" t="s">
        <v>6</v>
      </c>
      <c r="AG13" s="173">
        <v>25783578</v>
      </c>
      <c r="AH13" s="250" t="s">
        <v>6</v>
      </c>
      <c r="AI13" s="173">
        <v>25783578</v>
      </c>
      <c r="AJ13" s="248" t="s">
        <v>6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Amplexor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Roeland Hofkens</dc:creator>
  <cp:keywords/>
  <dc:description/>
  <cp:lastModifiedBy>PhT</cp:lastModifiedBy>
  <cp:lastPrinted>2008-02-27T09:24:07Z</cp:lastPrinted>
  <dcterms:created xsi:type="dcterms:W3CDTF">2002-04-10T21:14:07Z</dcterms:created>
  <dcterms:modified xsi:type="dcterms:W3CDTF">2017-05-04T08:28:30Z</dcterms:modified>
  <cp:category/>
  <cp:version/>
  <cp:contentType/>
  <cp:contentStatus/>
</cp:coreProperties>
</file>